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7.xml" ContentType="application/vnd.openxmlformats-officedocument.themeOverrid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2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30.xml" ContentType="application/vnd.openxmlformats-officedocument.drawingml.chart+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14="http://schemas.microsoft.com/office/spreadsheetml/2009/9/main"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626"/>
  <x:workbookPr codeName="ThisWorkbook" defaultThemeVersion="124226"/>
  <mc:AlternateContent xmlns:mc="http://schemas.openxmlformats.org/markup-compatibility/2006">
    <mc:Choice Requires="x15">
      <x15ac:absPath xmlns:x15ac="http://schemas.microsoft.com/office/spreadsheetml/2010/11/ac" url="Z:\STM\WLS\NWL\CONW\22\CC\CON  Final 14-Aug-23\"/>
    </mc:Choice>
  </mc:AlternateContent>
  <xr:revisionPtr revIDLastSave="0" documentId="13_ncr:1_{E7681067-60E7-4654-80EA-AC0831050DC4}" xr6:coauthVersionLast="47" xr6:coauthVersionMax="47" xr10:uidLastSave="{00000000-0000-0000-0000-000000000000}"/>
  <x:bookViews>
    <x:workbookView showSheetTabs="0" xWindow="-108" yWindow="-108" windowWidth="23256" windowHeight="12576" tabRatio="758" firstSheet="4" activeTab="4" xr2:uid="{00000000-000D-0000-FFFF-FFFF00000000}"/>
  </x:bookViews>
  <x:sheets>
    <x:sheet name="RPI13" sheetId="74" state="veryHidden" r:id="rId1"/>
    <x:sheet name="GTS_SHEET" sheetId="1" state="veryHidden" r:id="rId2"/>
    <x:sheet name="PB" sheetId="71" state="veryHidden" r:id="rId3"/>
    <x:sheet name="ANNEX" sheetId="72" state="veryHidden" r:id="rId4"/>
    <x:sheet name="HOME" sheetId="60" r:id="rId5"/>
    <x:sheet name="USER GUIDE" sheetId="69" r:id="rId6"/>
    <x:sheet name="COMPARATIVE HEADLINES" sheetId="56" r:id="rId7"/>
    <x:sheet name="KEY MEASURES" sheetId="63" r:id="rId8"/>
    <x:sheet name="VISITOR TYPE DISTRIBUTION" sheetId="66" r:id="rId9"/>
    <x:sheet name="MONTHLY DISTRIBUTION" sheetId="67" r:id="rId10"/>
    <x:sheet name="ECONOMIC IMPACT" sheetId="55" r:id="rId11"/>
    <x:sheet name="VISITOR NUMBERS" sheetId="58" r:id="rId12"/>
    <x:sheet name="VISITOR DAYS" sheetId="57" r:id="rId13"/>
    <x:sheet name="EMPLOYMENT" sheetId="59" r:id="rId14"/>
    <x:sheet name="ACCOMMODATION SUPPLY" sheetId="68" r:id="rId15"/>
    <x:sheet name="SECTORAL ANALYSIS" sheetId="61" r:id="rId16"/>
    <x:sheet name="COVER" sheetId="62" r:id="rId17"/>
    <x:sheet name="CONTENTS" sheetId="73" r:id="rId18"/>
    <x:sheet name="DATA" sheetId="65" r:id="rId19"/>
    <x:sheet name="LINKS" sheetId="75" state="veryHidden" r:id="rId20"/>
  </x:sheets>
  <x:definedNames>
    <x:definedName name="_xlnm._FilterDatabase" localSheetId="18" hidden="1">DATA!$A$8:$U$992</x:definedName>
    <x:definedName name="CHART.chart2seriesname">GTS_SHEET!$K$36</x:definedName>
    <x:definedName name="CHART.choices">INDIRECT(GTS_SHEET!$K$17)</x:definedName>
    <x:definedName name="CHART2.years">TRANSPOSE(OFFSET(INDEX(REP.yearsrange,1),0,0,COUNTA(REP.yearsrange),1))</x:definedName>
    <x:definedName name="CHARTYEAR">VALUE(INDEX(REP.yearsrange,CHARTYEAR.no))</x:definedName>
    <x:definedName name="CHARTYEAR.no">GTS_SHEET!$J$35</x:definedName>
    <x:definedName name="COMPARISONYEAR">VALUE(IF(INDEX(REP.yearsrange,COMPARISONYEAR.no)&gt;=FOCUSYEAR,FOCUSYEAR,INDEX(REP.yearsrange,COMPARISONYEAR.no)))</x:definedName>
    <x:definedName name="COMPARISONYEAR.no">GTS_SHEET!$J$33</x:definedName>
    <x:definedName name="DV">INDEX(TYPE.choices,6)</x:definedName>
    <x:definedName name="EI.MONTHLYDATA">IFERROR(INDEX(DATA!B:B,MATCH(REP.yearsrange&amp;"."&amp;'ECONOMIC IMPACT'!$A$1&amp;"."&amp;TYPE.userselected,REP.lookup,0))*REP.indexationfactors/'ECONOMIC IMPACT'!$A$2,0)</x:definedName>
    <x:definedName name="EI.SHARE_TOTAL_ANN">IFERROR(INDEX(DATA!N:N,MATCH(TRANSPOSE(REP.yearsrange)&amp;"."&amp;'ECONOMIC IMPACT'!$A$1&amp;"."&amp;TOTAL,REP.lookup,0))*TRANSPOSE(REP.indexationfactors)/'ECONOMIC IMPACT'!$A$4,"")</x:definedName>
    <x: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x:definedName>
    <x:definedName name="EISHAREOFTOTAL" localSheetId="13">INDIRECT(EMPLOYMENT!$D$32)</x:definedName>
    <x:definedName name="EISHAREOFTOTAL" localSheetId="15">INDIRECT('SECTORAL ANALYSIS'!$D$32)</x:definedName>
    <x:definedName name="EISHAREOFTOTAL" localSheetId="12">INDIRECT('VISITOR DAYS'!$D$32)</x:definedName>
    <x:definedName name="EISHAREOFTOTAL" localSheetId="11">INDIRECT('VISITOR NUMBERS'!$D$32)</x:definedName>
    <x:definedName name="EISHAREOFTOTAL">INDIRECT('ECONOMIC IMPACT'!$D$32)</x:definedName>
    <x:definedName name="EIVISTYPETOTAL" localSheetId="13">INDIRECT(EMPLOYMENT!$D$30)</x:definedName>
    <x:definedName name="EIVISTYPETOTAL" localSheetId="15">INDIRECT('SECTORAL ANALYSIS'!$D$30)</x:definedName>
    <x:definedName name="EIVISTYPETOTAL" localSheetId="12">INDIRECT('VISITOR DAYS'!$D$30)</x:definedName>
    <x:definedName name="EIVISTYPETOTAL" localSheetId="11">INDIRECT('VISITOR NUMBERS'!$D$30)</x:definedName>
    <x:definedName name="EIVISTYPETOTAL">INDIRECT('ECONOMIC IMPACT'!$D$30)</x:definedName>
    <x:definedName name="EIYEARS" localSheetId="13">INDIRECT(EMPLOYMENT!$D$29)</x:definedName>
    <x:definedName name="EIYEARS" localSheetId="15">INDIRECT('SECTORAL ANALYSIS'!$D$29)</x:definedName>
    <x:definedName name="EIYEARS" localSheetId="12">INDIRECT('VISITOR DAYS'!$D$29)</x:definedName>
    <x:definedName name="EIYEARS" localSheetId="11">INDIRECT('VISITOR NUMBERS'!$D$29)</x:definedName>
    <x:definedName name="EIYEARS">INDIRECT('ECONOMIC IMPACT'!$D$29)</x:definedName>
    <x:definedName name="EMP.MONTHLYDATA">IFERROR(INDEX(DATA!B:B,MATCH(REP.yearsrange&amp;"."&amp;EMPLOYMENT!$A$1&amp;"."&amp;TYPE.userselected,REP.lookup,0)),"")</x:definedName>
    <x:definedName name="EMP.SHARE_TOTAL_ANN">IFERROR(INDEX(DATA!N:N,MATCH(TRANSPOSE(REP.yearsrange)&amp;"."&amp;EMPLOYMENT!$A$1&amp;"."&amp;TOTAL,REP.lookup,0)),"")</x:definedName>
    <x: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x:definedName>
    <x:definedName name="FOCUSYEAR">VALUE(INDEX(REP.yearsrange,FOCUSYEAR.no))</x:definedName>
    <x:definedName name="FOCUSYEAR.choices">INDIRECT(GTS_SHEET!$D$17)</x:definedName>
    <x:definedName name="FOCUSYEAR.no">GTS_SHEET!$J$34</x:definedName>
    <x:definedName name="GTS_CJ">GTS_SHEET!$O$50:$O$59</x:definedName>
    <x:definedName name="GTS_DC">GTS_SHEET!$O$39:$O$48</x:definedName>
    <x:definedName name="GTS_DJ">GTS_SHEET!$O$28:$O$37</x:definedName>
    <x:definedName name="GTS_RM">GTS_SHEET!$O$61:$O$70</x:definedName>
    <x:definedName name="INDEX.no">GTS_SHEET!$E$31</x:definedName>
    <x:definedName name="NA_LABEL">"Not Applicable"</x:definedName>
    <x:definedName name="NSA.bedlabel">INDIRECT('ACCOMMODATION SUPPLY'!#REF!)</x:definedName>
    <x:definedName name="NSA.bedvalue">INDIRECT('ACCOMMODATION SUPPLY'!$O$22)</x:definedName>
    <x:definedName name="NSA.estlabel">INDIRECT('ACCOMMODATION SUPPLY'!#REF!)</x:definedName>
    <x:definedName name="NSA.ESTVALUE">INDIRECT('ACCOMMODATION SUPPLY'!#REF!)</x:definedName>
    <x:definedName name="_xlnm.Print_Area" localSheetId="14">'ACCOMMODATION SUPPLY'!$E$6:$X$38</x:definedName>
    <x:definedName name="_xlnm.Print_Area" localSheetId="3">ANNEX!$E$6:$X$37</x:definedName>
    <x:definedName name="_xlnm.Print_Area" localSheetId="6">'COMPARATIVE HEADLINES'!$E$6:$X$36</x:definedName>
    <x:definedName name="_xlnm.Print_Area" localSheetId="17">CONTENTS!$E$6:$X$38</x:definedName>
    <x:definedName name="_xlnm.Print_Area" localSheetId="16">COVER!$E$6:$X$35</x:definedName>
    <x:definedName name="_xlnm.Print_Area" localSheetId="10">'ECONOMIC IMPACT'!$E$6:$X$38</x:definedName>
    <x:definedName name="_xlnm.Print_Area" localSheetId="13">EMPLOYMENT!$E$6:$X$38</x:definedName>
    <x:definedName name="_xlnm.Print_Area" localSheetId="4">HOME!$E$6:$X$37</x:definedName>
    <x:definedName name="_xlnm.Print_Area" localSheetId="7">'KEY MEASURES'!$E$6:$X$38</x:definedName>
    <x:definedName name="_xlnm.Print_Area" localSheetId="9">'MONTHLY DISTRIBUTION'!$E$6:$X$38</x:definedName>
    <x:definedName name="_xlnm.Print_Area" localSheetId="2">PB!$E$6:$X$37</x:definedName>
    <x:definedName name="_xlnm.Print_Area" localSheetId="15">'SECTORAL ANALYSIS'!$E$6:$X$38</x:definedName>
    <x:definedName name="_xlnm.Print_Area" localSheetId="5">'USER GUIDE'!$E$6:$X$38</x:definedName>
    <x:definedName name="_xlnm.Print_Area" localSheetId="12">'VISITOR DAYS'!$E$6:$X$38</x:definedName>
    <x:definedName name="_xlnm.Print_Area" localSheetId="11">'VISITOR NUMBERS'!$E$6:$X$38</x:definedName>
    <x:definedName name="_xlnm.Print_Area" localSheetId="8">'VISITOR TYPE DISTRIBUTION'!$E$6:$X$38</x:definedName>
    <x:definedName name="REP.AllYear">GTS_SHEET!$O$22</x:definedName>
    <x:definedName name="REP.alookup">DATA!$A:$A</x:definedName>
    <x:definedName name="REP.areacode">GTS_SHEET!$D$14</x:definedName>
    <x:definedName name="REP.authority">GTS_SHEET!$D$6</x:definedName>
    <x:definedName name="REP.companycontacts">GTS_SHEET!$C$37:$C$48</x:definedName>
    <x:definedName name="REP.data">DATA!$C$8:'DATA'!$T$608</x:definedName>
    <x:definedName name="REP.footer1">GTS_SHEET!$J$5</x:definedName>
    <x:definedName name="REP.footer2">GTS_SHEET!$J$6</x:definedName>
    <x:definedName name="REP.gts">GTS_SHEET!$D$3</x:definedName>
    <x:definedName name="REP.highlightdown">GTS_SHEET!$J$9</x:definedName>
    <x:definedName name="REP.highlightsame">GTS_SHEET!$J$11</x:definedName>
    <x:definedName name="REP.highlightup">GTS_SHEET!$J$10</x:definedName>
    <x:definedName name="REP.ind">GTS_SHEET!$D$15</x:definedName>
    <x:definedName name="REP.indexationfactors">GTS_SHEET!$G$19:$G$30</x:definedName>
    <x:definedName name="REP.indexationtable">'RPI13'!$A$1:$AC$29</x:definedName>
    <x:definedName name="REP.indexationtoFOCUSYEAR">GTS_SHEET!$F$19:$F$30</x:definedName>
    <x:definedName name="REP.indexed">IF(INDEX.no=1,"YES","NO")</x:definedName>
    <x:definedName name="REP.issued">GTS_SHEET!$D$9</x:definedName>
    <x:definedName name="REP.lookup">DATA!$C:$C</x:definedName>
    <x:definedName name="REP.monthnos">DATA!$H$7:$T$7</x:definedName>
    <x:definedName name="REP.months">DATA!$H$8:$S$8</x:definedName>
    <x:definedName name="REP.percenthighlight">GTS_SHEET!$J$8</x:definedName>
    <x:definedName name="rep.percenthighlightchoices">GTS_SHEET!$L$8:$L$11</x:definedName>
    <x:definedName name="rep.percenthighlightno">GTS_SHEET!$K$8</x:definedName>
    <x:definedName name="REP.product">GTS_SHEET!$D$4</x:definedName>
    <x:definedName name="REP.QuarterAllYear">GTS_SHEET!$O$18:$O$22</x:definedName>
    <x:definedName name="REP.quarters">GTS_SHEET!$O$18:$O$21</x:definedName>
    <x:definedName name="REP.reporttype">GTS_SHEET!$D$5</x:definedName>
    <x:definedName name="REP.status">GTS_SHEET!$D$10</x:definedName>
    <x:definedName name="REP.subzone">GTS_SHEET!$D$7</x:definedName>
    <x:definedName name="REP.title1">GTS_SHEET!$J$3</x:definedName>
    <x:definedName name="REP.title2">GTS_SHEET!$J$4</x:definedName>
    <x:definedName name="REP.user">GTS_SHEET!$D$8</x:definedName>
    <x:definedName name="REP.yearnos">GTS_SHEET!$C$19:$C$30</x:definedName>
    <x:definedName name="REP.yearnosINV">GTS_SHEET!$B$19:$B$30</x:definedName>
    <x:definedName name="REP.yearsrange">GTS_SHEET!$D$19:$D$30</x:definedName>
    <x:definedName name="REP.YN">GTS_SHEET!$F$32:$F$33</x:definedName>
    <x:definedName name="SA.BEDLABEL">INDIRECT('ACCOMMODATION SUPPLY'!$M$8)</x:definedName>
    <x:definedName name="SA.bedvalue">INDIRECT('ACCOMMODATION SUPPLY'!$E$17)</x:definedName>
    <x:definedName name="SA.estlabel">INDIRECT('ACCOMMODATION SUPPLY'!$N$8)</x:definedName>
    <x:definedName name="SA.estvalue">INDIRECT('ACCOMMODATION SUPPLY'!#REF!)</x:definedName>
    <x:definedName name="TD.MONTHLYDATA">IFERROR(INDEX(DATA!B:B,MATCH(REP.yearsrange&amp;"."&amp;'VISITOR DAYS'!$A$1&amp;"."&amp;TYPE.userselected,REP.lookup,0))/'VISITOR DAYS'!$A$2,0)</x:definedName>
    <x:definedName name="TD.SHARE_TOTAL_ANN">IFERROR(INDEX(DATA!N:N,MATCH(TRANSPOSE(REP.yearsrange)&amp;"."&amp;'VISITOR DAYS'!$A$1&amp;"."&amp;TOTAL,REP.lookup,0))/'VISITOR DAYS'!$A$4,"")</x:definedName>
    <x: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x:definedName>
    <x:definedName name="TN.MONTHLYDATA">IFERROR(INDEX(DATA!B:B,MATCH(REP.yearsrange&amp;"."&amp;'VISITOR NUMBERS'!$A$1&amp;"."&amp;TYPE.userselected,REP.lookup,0))/'VISITOR NUMBERS'!$A$2,"")</x:definedName>
    <x:definedName name="TN.SHARE_TOTAL_ANN">IFERROR(INDEX(DATA!N:N,MATCH(TRANSPOSE(REP.yearsrange)&amp;"."&amp;'VISITOR NUMBERS'!$A$1&amp;"."&amp;TOTAL,REP.lookup,0))/'VISITOR NUMBERS'!$A$4,"")</x:definedName>
    <x: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x:definedName>
    <x:definedName name="TOTAL">INDEX(TYPE.choices,1)</x:definedName>
    <x:definedName name="TYPE.choices">GTS_SHEET!$I$42:$I$47</x:definedName>
    <x:definedName name="TYPE.no">GTS_SHEET!$J$48</x:definedName>
    <x:definedName name="TYPE.supplymeasure">GTS_SHEET!$J$49</x:definedName>
    <x:definedName name="TYPE.userselected">GTS_SHEET!$I$49</x:definedName>
    <x:definedName name="VISTYPE.short" comment="=if(right(type.userselected,3)=&quot;ion&quot;,left(type.userselected,len(type.userselected)-14),type.userselected)">IF(RIGHT(TYPE.userselected,3)="ion",LEFT(TYPE.userselected,LEN(TYPE.userselected)-14),TYPE.userselected)</x:definedName>
    <x:definedName name="wrn.Sumaries." hidden="1">{#N/A,#N/A,FALSE,"PERTH"}</x:definedName>
    <x:definedName name="YEARSINREP">GTS_SHEET!$G$31</x:definedName>
    <x:definedName name="Z_8B230698_F8B2_4D0F_832E_63DA4284639C_.wvu.PrintArea" localSheetId="14" hidden="1">'ACCOMMODATION SUPPLY'!$E$8:$X$38</x:definedName>
    <x:definedName name="Z_8B230698_F8B2_4D0F_832E_63DA4284639C_.wvu.PrintArea" localSheetId="3" hidden="1">ANNEX!$E$9:$X$37</x:definedName>
    <x:definedName name="Z_8B230698_F8B2_4D0F_832E_63DA4284639C_.wvu.PrintArea" localSheetId="6" hidden="1">'COMPARATIVE HEADLINES'!$E$9:$X$36</x:definedName>
    <x:definedName name="Z_8B230698_F8B2_4D0F_832E_63DA4284639C_.wvu.PrintArea" localSheetId="17" hidden="1">CONTENTS!$E$9:$X$38</x:definedName>
    <x:definedName name="Z_8B230698_F8B2_4D0F_832E_63DA4284639C_.wvu.PrintArea" localSheetId="16" hidden="1">COVER!$E$9:$X$35</x:definedName>
    <x:definedName name="Z_8B230698_F8B2_4D0F_832E_63DA4284639C_.wvu.PrintArea" localSheetId="10" hidden="1">'ECONOMIC IMPACT'!$E$9:$X$38</x:definedName>
    <x:definedName name="Z_8B230698_F8B2_4D0F_832E_63DA4284639C_.wvu.PrintArea" localSheetId="13" hidden="1">EMPLOYMENT!$E$9:$X$38</x:definedName>
    <x:definedName name="Z_8B230698_F8B2_4D0F_832E_63DA4284639C_.wvu.PrintArea" localSheetId="4" hidden="1">HOME!$E$10:$X$37</x:definedName>
    <x:definedName name="Z_8B230698_F8B2_4D0F_832E_63DA4284639C_.wvu.PrintArea" localSheetId="7" hidden="1">'KEY MEASURES'!$E$9:$X$38</x:definedName>
    <x:definedName name="Z_8B230698_F8B2_4D0F_832E_63DA4284639C_.wvu.PrintArea" localSheetId="9" hidden="1">'MONTHLY DISTRIBUTION'!$E$9:$X$38</x:definedName>
    <x:definedName name="Z_8B230698_F8B2_4D0F_832E_63DA4284639C_.wvu.PrintArea" localSheetId="2" hidden="1">PB!$E$9:$X$37</x:definedName>
    <x:definedName name="Z_8B230698_F8B2_4D0F_832E_63DA4284639C_.wvu.PrintArea" localSheetId="15" hidden="1">'SECTORAL ANALYSIS'!$E$8:$X$38</x:definedName>
    <x:definedName name="Z_8B230698_F8B2_4D0F_832E_63DA4284639C_.wvu.PrintArea" localSheetId="5" hidden="1">'USER GUIDE'!$E$9:$X$38</x:definedName>
    <x:definedName name="Z_8B230698_F8B2_4D0F_832E_63DA4284639C_.wvu.PrintArea" localSheetId="12" hidden="1">'VISITOR DAYS'!$E$9:$X$38</x:definedName>
    <x:definedName name="Z_8B230698_F8B2_4D0F_832E_63DA4284639C_.wvu.PrintArea" localSheetId="11" hidden="1">'VISITOR NUMBERS'!$E$9:$X$38</x:definedName>
    <x:definedName name="Z_8B230698_F8B2_4D0F_832E_63DA4284639C_.wvu.PrintArea" localSheetId="8" hidden="1">'VISITOR TYPE DISTRIBUTION'!$E$9:$X$38</x:definedName>
    <x:definedName name="Z_8B230698_F8B2_4D0F_832E_63DA4284639C_.wvu.Rows" localSheetId="14" hidden="1">'ACCOMMODATION SUPPLY'!$1:$1,'ACCOMMODATION SUPPLY'!#REF!</x:definedName>
    <x:definedName name="Z_8B230698_F8B2_4D0F_832E_63DA4284639C_.wvu.Rows" localSheetId="3" hidden="1">ANNEX!$1:$1,ANNEX!#REF!</x:definedName>
    <x:definedName name="Z_8B230698_F8B2_4D0F_832E_63DA4284639C_.wvu.Rows" localSheetId="6" hidden="1">'COMPARATIVE HEADLINES'!$1:$1,'COMPARATIVE HEADLINES'!#REF!</x:definedName>
    <x:definedName name="Z_8B230698_F8B2_4D0F_832E_63DA4284639C_.wvu.Rows" localSheetId="17" hidden="1">CONTENTS!$1:$1,CONTENTS!#REF!</x:definedName>
    <x:definedName name="Z_8B230698_F8B2_4D0F_832E_63DA4284639C_.wvu.Rows" localSheetId="16" hidden="1">COVER!$1:$1,COVER!#REF!</x:definedName>
    <x:definedName name="Z_8B230698_F8B2_4D0F_832E_63DA4284639C_.wvu.Rows" localSheetId="10" hidden="1">'ECONOMIC IMPACT'!$1:$1,'ECONOMIC IMPACT'!#REF!</x:definedName>
    <x:definedName name="Z_8B230698_F8B2_4D0F_832E_63DA4284639C_.wvu.Rows" localSheetId="13" hidden="1">EMPLOYMENT!$1:$1,EMPLOYMENT!#REF!</x:definedName>
    <x:definedName name="Z_8B230698_F8B2_4D0F_832E_63DA4284639C_.wvu.Rows" localSheetId="4" hidden="1">HOME!$1:$1,HOME!#REF!</x:definedName>
    <x:definedName name="Z_8B230698_F8B2_4D0F_832E_63DA4284639C_.wvu.Rows" localSheetId="7" hidden="1">'KEY MEASURES'!$1:$1,'KEY MEASURES'!#REF!</x:definedName>
    <x:definedName name="Z_8B230698_F8B2_4D0F_832E_63DA4284639C_.wvu.Rows" localSheetId="9" hidden="1">'MONTHLY DISTRIBUTION'!$1:$1,'MONTHLY DISTRIBUTION'!#REF!</x:definedName>
    <x:definedName name="Z_8B230698_F8B2_4D0F_832E_63DA4284639C_.wvu.Rows" localSheetId="2" hidden="1">PB!$1:$1,PB!#REF!</x:definedName>
    <x:definedName name="Z_8B230698_F8B2_4D0F_832E_63DA4284639C_.wvu.Rows" localSheetId="15" hidden="1">'SECTORAL ANALYSIS'!$1:$1,'SECTORAL ANALYSIS'!#REF!</x:definedName>
    <x:definedName name="Z_8B230698_F8B2_4D0F_832E_63DA4284639C_.wvu.Rows" localSheetId="5" hidden="1">'USER GUIDE'!$1:$1,'USER GUIDE'!#REF!</x:definedName>
    <x:definedName name="Z_8B230698_F8B2_4D0F_832E_63DA4284639C_.wvu.Rows" localSheetId="12" hidden="1">'VISITOR DAYS'!$1:$1,'VISITOR DAYS'!#REF!</x:definedName>
    <x:definedName name="Z_8B230698_F8B2_4D0F_832E_63DA4284639C_.wvu.Rows" localSheetId="11" hidden="1">'VISITOR NUMBERS'!$1:$1,'VISITOR NUMBERS'!#REF!</x:definedName>
    <x:definedName name="Z_8B230698_F8B2_4D0F_832E_63DA4284639C_.wvu.Rows" localSheetId="8" hidden="1">'VISITOR TYPE DISTRIBUTION'!$1:$1,'VISITOR TYPE DISTRIBUTION'!#REF!</x:definedName>
  </x:definedNames>
  <x:calcPr calcId="191029"/>
  <x:fileRecoveryPr autoRecover="0"/>
  <x:extLst>
    <x:ext xmlns:x14="http://schemas.microsoft.com/office/spreadsheetml/2009/9/main" uri="{79F54976-1DA5-4618-B147-4CDE4B953A38}">
      <x14:workbookPr discardImageEditData="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calcChain xmlns="http://schemas.openxmlformats.org/spreadsheetml/2006/main">
  <c r="G19" i="1" l="1" a="1"/>
  <c r="G19" i="1" s="1"/>
  <c r="F19" i="1" a="1"/>
  <c r="F19" i="1" s="1"/>
  <c r="G30" i="1" l="1"/>
  <c r="G29" i="1"/>
  <c r="G27" i="1"/>
  <c r="G28" i="1"/>
  <c r="G26" i="1"/>
  <c r="G25" i="1"/>
  <c r="G24" i="1"/>
  <c r="G23" i="1"/>
  <c r="G22" i="1"/>
  <c r="G21" i="1"/>
  <c r="G20" i="1"/>
  <c r="F30" i="1"/>
  <c r="F29" i="1"/>
  <c r="F27" i="1"/>
  <c r="F26" i="1"/>
  <c r="F28" i="1"/>
  <c r="F25" i="1"/>
  <c r="F24" i="1"/>
  <c r="F23" i="1"/>
  <c r="F22" i="1"/>
  <c r="F21" i="1"/>
  <c r="F20" i="1"/>
  <c r="K34" i="1"/>
  <c r="K33" i="1"/>
  <c r="K35" i="1"/>
  <c r="F18"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C991" i="65" l="1"/>
  <c r="A990" i="65"/>
  <c r="C989" i="65"/>
  <c r="C988" i="65"/>
  <c r="C987" i="65"/>
  <c r="C985" i="65"/>
  <c r="C984" i="65"/>
  <c r="C983" i="65"/>
  <c r="C981" i="65"/>
  <c r="C992" i="65"/>
  <c r="C979" i="65"/>
  <c r="C977" i="65"/>
  <c r="C976" i="65"/>
  <c r="C975" i="65"/>
  <c r="C973" i="65"/>
  <c r="C972" i="65"/>
  <c r="C971" i="65"/>
  <c r="C970" i="65"/>
  <c r="C969" i="65"/>
  <c r="C967" i="65"/>
  <c r="C965" i="65"/>
  <c r="C964" i="65"/>
  <c r="C963" i="65"/>
  <c r="C961" i="65"/>
  <c r="C959" i="65"/>
  <c r="C958" i="65"/>
  <c r="C957" i="65"/>
  <c r="C956" i="65"/>
  <c r="C955" i="65"/>
  <c r="C954" i="65"/>
  <c r="C953" i="65"/>
  <c r="C952" i="65"/>
  <c r="C951"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92" i="65" l="1"/>
  <c r="A984" i="65"/>
  <c r="A988" i="65"/>
  <c r="A982" i="65"/>
  <c r="A986" i="65"/>
  <c r="A954" i="65"/>
  <c r="A964" i="65"/>
  <c r="A983" i="65"/>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P7" i="61" l="1"/>
  <c r="P6" i="61"/>
  <c r="E34" i="59" l="1"/>
  <c r="E34" i="58"/>
  <c r="E34" i="57"/>
  <c r="E34" i="55"/>
  <c r="O23" i="66" l="1"/>
  <c r="S6" i="66"/>
  <c r="S6" i="67"/>
  <c r="O23" i="67"/>
  <c r="E8" i="56" l="1"/>
  <c r="E19" i="56"/>
  <c r="A1" i="58"/>
  <c r="A1" i="57"/>
  <c r="P7" i="56" l="1"/>
  <c r="F31" i="1"/>
  <c r="E8" i="66" l="1"/>
  <c r="D5" i="1" l="1"/>
  <c r="A1" i="73" l="1"/>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F60" i="67" a="1"/>
  <c r="N60" i="67" s="1"/>
  <c r="E60" i="67"/>
  <c r="K60" i="67" l="1"/>
  <c r="G60" i="67"/>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19"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O14" i="56"/>
  <c r="O13" i="56"/>
  <c r="U16" i="56"/>
  <c r="U13" i="56"/>
  <c r="X14" i="56"/>
  <c r="L16" i="56"/>
  <c r="I30"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W23" i="62" a="1"/>
  <c r="W33" i="62" s="1"/>
  <c r="A1" i="62"/>
  <c r="J29" i="68" l="1"/>
  <c r="K24" i="68"/>
  <c r="K23" i="68"/>
  <c r="K20" i="68"/>
  <c r="K22" i="68"/>
  <c r="K10" i="68"/>
  <c r="K28" i="68" s="1"/>
  <c r="K21" i="68"/>
  <c r="K13" i="68"/>
  <c r="L19" i="68"/>
  <c r="L28" i="68" s="1"/>
  <c r="K11" i="68"/>
  <c r="L22" i="68"/>
  <c r="L24" i="68"/>
  <c r="L20" i="68"/>
  <c r="K14" i="68"/>
  <c r="K15" i="68"/>
  <c r="M23" i="68"/>
  <c r="M20" i="68"/>
  <c r="M21" i="68"/>
  <c r="M19" i="68"/>
  <c r="M22" i="68"/>
  <c r="L21" i="68"/>
  <c r="N12" i="68"/>
  <c r="N13" i="68"/>
  <c r="N15" i="68"/>
  <c r="N14" i="68"/>
  <c r="N10" i="68"/>
  <c r="N21" i="68"/>
  <c r="M11" i="68"/>
  <c r="N23" i="68"/>
  <c r="N19" i="68"/>
  <c r="M10" i="68"/>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N28" i="68" l="1"/>
  <c r="M28" i="68"/>
  <c r="E20" i="68"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S16" i="59" a="1"/>
  <c r="S23" i="59" s="1"/>
  <c r="G30" i="59" a="1"/>
  <c r="Q16" i="59" a="1"/>
  <c r="P16" i="59" a="1"/>
  <c r="R16" i="59" a="1"/>
  <c r="O16" i="59" a="1"/>
  <c r="N16" i="59" a="1"/>
  <c r="M16" i="59" a="1"/>
  <c r="I16" i="59" a="1"/>
  <c r="I25" i="59" s="1"/>
  <c r="L16" i="59" a="1"/>
  <c r="K16" i="59" a="1"/>
  <c r="J16" i="59" a="1"/>
  <c r="G16" i="59" a="1"/>
  <c r="G22" i="59" s="1"/>
  <c r="H16"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L16" i="58" a="1"/>
  <c r="L23" i="58" s="1"/>
  <c r="S16" i="58" a="1"/>
  <c r="S19" i="58" s="1"/>
  <c r="A2" i="55"/>
  <c r="G32" i="55" s="1" a="1"/>
  <c r="F31" i="55"/>
  <c r="G10" i="58"/>
  <c r="I16" i="58" a="1"/>
  <c r="I23" i="58" s="1"/>
  <c r="Q16" i="58" a="1"/>
  <c r="Q26" i="58" s="1"/>
  <c r="M16" i="58" a="1"/>
  <c r="M25" i="58" s="1"/>
  <c r="H16" i="58" a="1"/>
  <c r="H22" i="58" s="1"/>
  <c r="P16" i="58" a="1"/>
  <c r="P27" i="58" s="1"/>
  <c r="G30" i="57" a="1"/>
  <c r="G16" i="58" a="1"/>
  <c r="G26" i="58" s="1"/>
  <c r="K16" i="58" a="1"/>
  <c r="K22" i="58" s="1"/>
  <c r="O16" i="58" a="1"/>
  <c r="O26" i="58" s="1"/>
  <c r="G30" i="58" a="1"/>
  <c r="L30" i="58" s="1"/>
  <c r="J16" i="58" a="1"/>
  <c r="J27" i="58" s="1"/>
  <c r="N16" i="58" a="1"/>
  <c r="N25" i="58" s="1"/>
  <c r="R16" i="58" a="1"/>
  <c r="R19" i="58" s="1"/>
  <c r="F16" i="58"/>
  <c r="F61" i="67"/>
  <c r="E35" i="63"/>
  <c r="E37" i="63"/>
  <c r="E36" i="63"/>
  <c r="I17" i="59"/>
  <c r="I27" i="59"/>
  <c r="G32" i="59"/>
  <c r="M32" i="59"/>
  <c r="Q32" i="59"/>
  <c r="N32" i="59"/>
  <c r="R32" i="59"/>
  <c r="K32" i="59"/>
  <c r="O32" i="59"/>
  <c r="L32" i="59"/>
  <c r="P32" i="59"/>
  <c r="I24" i="59"/>
  <c r="I26" i="59"/>
  <c r="G20" i="59"/>
  <c r="I22" i="59"/>
  <c r="G26" i="59"/>
  <c r="I16" i="59"/>
  <c r="I18" i="59"/>
  <c r="S26" i="59"/>
  <c r="G21" i="59"/>
  <c r="G16" i="59"/>
  <c r="I23" i="59"/>
  <c r="I21" i="59"/>
  <c r="S24" i="59"/>
  <c r="G25" i="59"/>
  <c r="G19" i="59"/>
  <c r="S21" i="59"/>
  <c r="S22" i="59"/>
  <c r="G24" i="59"/>
  <c r="G23" i="59"/>
  <c r="G18" i="59"/>
  <c r="I20" i="59"/>
  <c r="I19" i="59"/>
  <c r="S18" i="59"/>
  <c r="S20" i="59"/>
  <c r="S27" i="59"/>
  <c r="G17" i="59"/>
  <c r="G27" i="59"/>
  <c r="S25" i="59"/>
  <c r="S16" i="59"/>
  <c r="I30" i="59"/>
  <c r="M30" i="59"/>
  <c r="Q30" i="59"/>
  <c r="N30" i="59"/>
  <c r="R30" i="59"/>
  <c r="G30" i="59"/>
  <c r="G37" i="63" s="1"/>
  <c r="K30" i="59"/>
  <c r="O30" i="59"/>
  <c r="L30" i="59"/>
  <c r="P30" i="59"/>
  <c r="R26" i="59"/>
  <c r="R22" i="59"/>
  <c r="R18" i="59"/>
  <c r="R25" i="59"/>
  <c r="R21" i="59"/>
  <c r="R24" i="59"/>
  <c r="R20" i="59"/>
  <c r="R16" i="59"/>
  <c r="R27" i="59"/>
  <c r="R23" i="59"/>
  <c r="R19" i="59"/>
  <c r="P25" i="59"/>
  <c r="P21" i="59"/>
  <c r="P17" i="59"/>
  <c r="P24" i="59"/>
  <c r="P20" i="59"/>
  <c r="P16" i="59"/>
  <c r="P27" i="59"/>
  <c r="P23" i="59"/>
  <c r="P19" i="59"/>
  <c r="P26" i="59"/>
  <c r="P22" i="59"/>
  <c r="P18" i="59"/>
  <c r="Q24" i="59"/>
  <c r="Q20" i="59"/>
  <c r="Q16" i="59"/>
  <c r="Q27" i="59"/>
  <c r="Q23" i="59"/>
  <c r="Q26" i="59"/>
  <c r="Q22" i="59"/>
  <c r="Q18" i="59"/>
  <c r="Q25" i="59"/>
  <c r="Q21" i="59"/>
  <c r="Q17" i="59"/>
  <c r="N27" i="59"/>
  <c r="N23" i="59"/>
  <c r="N19" i="59"/>
  <c r="N25" i="59"/>
  <c r="N21" i="59"/>
  <c r="N17" i="59"/>
  <c r="N24" i="59"/>
  <c r="N20" i="59"/>
  <c r="N16" i="59"/>
  <c r="N26" i="59"/>
  <c r="N22" i="59"/>
  <c r="N18" i="59"/>
  <c r="M26" i="59"/>
  <c r="M22" i="59"/>
  <c r="M18" i="59"/>
  <c r="M25" i="59"/>
  <c r="M21" i="59"/>
  <c r="M17" i="59"/>
  <c r="M24" i="59"/>
  <c r="M20" i="59"/>
  <c r="M16" i="59"/>
  <c r="M27" i="59"/>
  <c r="M23" i="59"/>
  <c r="M19" i="59"/>
  <c r="O27" i="59"/>
  <c r="O23" i="59"/>
  <c r="O19" i="59"/>
  <c r="O26" i="59"/>
  <c r="O22" i="59"/>
  <c r="O18" i="59"/>
  <c r="O24" i="59"/>
  <c r="O20" i="59"/>
  <c r="O16" i="59"/>
  <c r="O25" i="59"/>
  <c r="O21" i="59"/>
  <c r="O17" i="59"/>
  <c r="J27" i="59"/>
  <c r="J23" i="59"/>
  <c r="J19" i="59"/>
  <c r="J26" i="59"/>
  <c r="J22" i="59"/>
  <c r="J18" i="59"/>
  <c r="J25" i="59"/>
  <c r="J21" i="59"/>
  <c r="J17" i="59"/>
  <c r="J24" i="59"/>
  <c r="J20" i="59"/>
  <c r="J16" i="59"/>
  <c r="L27" i="59"/>
  <c r="L23" i="59"/>
  <c r="L19" i="59"/>
  <c r="L26" i="59"/>
  <c r="L22" i="59"/>
  <c r="L18" i="59"/>
  <c r="L25" i="59"/>
  <c r="L21" i="59"/>
  <c r="L17" i="59"/>
  <c r="L24" i="59"/>
  <c r="L20" i="59"/>
  <c r="L16" i="59"/>
  <c r="K27" i="59"/>
  <c r="K23" i="59"/>
  <c r="K19" i="59"/>
  <c r="K26" i="59"/>
  <c r="K22" i="59"/>
  <c r="K18" i="59"/>
  <c r="K25" i="59"/>
  <c r="K21" i="59"/>
  <c r="K17" i="59"/>
  <c r="K24" i="59"/>
  <c r="K20" i="59"/>
  <c r="K16" i="59"/>
  <c r="H17" i="59"/>
  <c r="H21" i="59"/>
  <c r="H25" i="59"/>
  <c r="H18" i="59"/>
  <c r="H22" i="59"/>
  <c r="H26" i="59"/>
  <c r="H19" i="59"/>
  <c r="H23" i="59"/>
  <c r="H27" i="59"/>
  <c r="H16" i="59"/>
  <c r="H20" i="59"/>
  <c r="H24" i="59"/>
  <c r="P37" i="63" l="1"/>
  <c r="Q37" i="63"/>
  <c r="R37" i="63"/>
  <c r="O37" i="63"/>
  <c r="N37" i="63"/>
  <c r="M37" i="63"/>
  <c r="L37" i="63"/>
  <c r="S16" i="58"/>
  <c r="U22" i="59"/>
  <c r="W21" i="59"/>
  <c r="U25" i="59"/>
  <c r="W19" i="59"/>
  <c r="W25" i="59"/>
  <c r="F16" i="55"/>
  <c r="G10" i="55" s="1"/>
  <c r="W26" i="59"/>
  <c r="X23" i="59"/>
  <c r="X24" i="59"/>
  <c r="S18" i="58"/>
  <c r="F16" i="57"/>
  <c r="S22" i="58"/>
  <c r="S23" i="58"/>
  <c r="S26" i="58"/>
  <c r="S20" i="58"/>
  <c r="S24" i="58"/>
  <c r="S25" i="58"/>
  <c r="S17" i="58"/>
  <c r="S27" i="58"/>
  <c r="S21" i="58"/>
  <c r="Q16" i="57" a="1"/>
  <c r="Q25" i="57" s="1"/>
  <c r="V24" i="59"/>
  <c r="V18" i="59"/>
  <c r="V23" i="59"/>
  <c r="W27" i="59"/>
  <c r="W17" i="59"/>
  <c r="W22" i="59"/>
  <c r="X20" i="59"/>
  <c r="X25" i="59"/>
  <c r="U27" i="59"/>
  <c r="U23" i="59"/>
  <c r="U19" i="59"/>
  <c r="U20" i="59"/>
  <c r="U17" i="59"/>
  <c r="U24" i="59"/>
  <c r="U16" i="59"/>
  <c r="V17" i="59"/>
  <c r="V22" i="59"/>
  <c r="V27" i="59"/>
  <c r="W16" i="59"/>
  <c r="X18" i="59"/>
  <c r="V16" i="59"/>
  <c r="V21" i="59"/>
  <c r="V26" i="59"/>
  <c r="W20" i="59"/>
  <c r="X22" i="59"/>
  <c r="X27" i="59"/>
  <c r="U21" i="59"/>
  <c r="U26" i="59"/>
  <c r="V20" i="59"/>
  <c r="V25" i="59"/>
  <c r="V19" i="59"/>
  <c r="W23" i="59"/>
  <c r="W24" i="59"/>
  <c r="W18" i="59"/>
  <c r="X26" i="59"/>
  <c r="X16" i="59"/>
  <c r="X21" i="59"/>
  <c r="U18" i="59"/>
  <c r="O16" i="57" a="1"/>
  <c r="O24" i="57" s="1"/>
  <c r="P16" i="57" a="1"/>
  <c r="P22" i="57" s="1"/>
  <c r="K37" i="63"/>
  <c r="I22" i="58"/>
  <c r="M16" i="57" a="1"/>
  <c r="M25" i="57" s="1"/>
  <c r="N16" i="57" a="1"/>
  <c r="N17" i="57" s="1"/>
  <c r="I37" i="63"/>
  <c r="L20" i="58"/>
  <c r="G16" i="57" a="1"/>
  <c r="G22" i="57" s="1"/>
  <c r="I16" i="57" a="1"/>
  <c r="I18" i="57" s="1"/>
  <c r="S16" i="57" a="1"/>
  <c r="S23" i="57" s="1"/>
  <c r="R16" i="57" a="1"/>
  <c r="R24" i="57" s="1"/>
  <c r="H16" i="57" a="1"/>
  <c r="H27" i="57" s="1"/>
  <c r="J16" i="57" a="1"/>
  <c r="J19" i="57" s="1"/>
  <c r="L16" i="57" a="1"/>
  <c r="L25" i="57" s="1"/>
  <c r="K16" i="57" a="1"/>
  <c r="K16" i="57" s="1"/>
  <c r="P16" i="55" a="1"/>
  <c r="P18" i="55" s="1"/>
  <c r="O16" i="55" a="1"/>
  <c r="O18" i="55" s="1"/>
  <c r="K16" i="55" a="1"/>
  <c r="K27" i="55" s="1"/>
  <c r="L16" i="55" a="1"/>
  <c r="L17" i="55" s="1"/>
  <c r="M16" i="55" a="1"/>
  <c r="M20" i="55" s="1"/>
  <c r="N16" i="55" a="1"/>
  <c r="N19" i="55" s="1"/>
  <c r="Q16" i="55" a="1"/>
  <c r="Q26" i="55" s="1"/>
  <c r="I16" i="55" a="1"/>
  <c r="I21" i="55" s="1"/>
  <c r="H16" i="55" a="1"/>
  <c r="H21" i="55" s="1"/>
  <c r="G16" i="55" a="1"/>
  <c r="G22" i="55" s="1"/>
  <c r="J16" i="55" a="1"/>
  <c r="J25" i="55" s="1"/>
  <c r="M30" i="57"/>
  <c r="L27" i="58"/>
  <c r="L18" i="58"/>
  <c r="L17" i="58"/>
  <c r="L22" i="58"/>
  <c r="L24" i="58"/>
  <c r="L21" i="58"/>
  <c r="L26" i="58"/>
  <c r="L19" i="58"/>
  <c r="L25" i="58"/>
  <c r="L16" i="58"/>
  <c r="G32" i="55"/>
  <c r="P32" i="55"/>
  <c r="J32" i="55"/>
  <c r="M32" i="55"/>
  <c r="N32" i="55"/>
  <c r="K32" i="55"/>
  <c r="R32" i="55"/>
  <c r="O32" i="55"/>
  <c r="H32" i="55"/>
  <c r="I32" i="55"/>
  <c r="L32" i="55"/>
  <c r="Q32" i="55"/>
  <c r="G32" i="57"/>
  <c r="I32" i="57"/>
  <c r="L32" i="57"/>
  <c r="M32" i="57"/>
  <c r="P32" i="57"/>
  <c r="Q32" i="57"/>
  <c r="J32" i="57"/>
  <c r="K32" i="57"/>
  <c r="N32" i="57"/>
  <c r="O32" i="57"/>
  <c r="R32" i="57"/>
  <c r="H32" i="57"/>
  <c r="Q20" i="58"/>
  <c r="I18" i="58"/>
  <c r="I27" i="58"/>
  <c r="Q19" i="58"/>
  <c r="Q16" i="58"/>
  <c r="I26" i="58"/>
  <c r="I16" i="58"/>
  <c r="I20" i="58"/>
  <c r="I25" i="58"/>
  <c r="I19" i="58"/>
  <c r="Q25" i="58"/>
  <c r="Q24" i="58"/>
  <c r="Q21" i="58"/>
  <c r="Q23" i="58"/>
  <c r="Q22" i="58"/>
  <c r="Q17" i="58"/>
  <c r="H21" i="58"/>
  <c r="Q18" i="58"/>
  <c r="Q27" i="58"/>
  <c r="I17" i="58"/>
  <c r="I21" i="58"/>
  <c r="I24" i="58"/>
  <c r="O24" i="58"/>
  <c r="P21" i="58"/>
  <c r="P26" i="58"/>
  <c r="H26" i="58"/>
  <c r="G18" i="58"/>
  <c r="G25" i="58"/>
  <c r="H16" i="58"/>
  <c r="M27" i="58"/>
  <c r="P16" i="58"/>
  <c r="P23" i="58"/>
  <c r="P24" i="58"/>
  <c r="P18" i="58"/>
  <c r="G30" i="57"/>
  <c r="G36" i="63" s="1"/>
  <c r="M19" i="58"/>
  <c r="M16" i="58"/>
  <c r="P25" i="58"/>
  <c r="P17" i="58"/>
  <c r="P19" i="58"/>
  <c r="N30" i="57"/>
  <c r="K25" i="58"/>
  <c r="P20" i="58"/>
  <c r="P22" i="58"/>
  <c r="Q30" i="58"/>
  <c r="I30" i="58"/>
  <c r="O30" i="58"/>
  <c r="H30" i="58"/>
  <c r="M20" i="58"/>
  <c r="M21" i="58"/>
  <c r="G30" i="58"/>
  <c r="G35" i="63" s="1"/>
  <c r="M23" i="58"/>
  <c r="L30" i="57"/>
  <c r="J30" i="57"/>
  <c r="K30" i="57"/>
  <c r="O30" i="57"/>
  <c r="Q30" i="57"/>
  <c r="H30" i="57"/>
  <c r="R30" i="57"/>
  <c r="M22" i="58"/>
  <c r="P30" i="57"/>
  <c r="I30" i="57"/>
  <c r="M26" i="58"/>
  <c r="M18" i="58"/>
  <c r="M24" i="58"/>
  <c r="M17" i="58"/>
  <c r="H19" i="58"/>
  <c r="H20" i="58"/>
  <c r="H25" i="58"/>
  <c r="J18" i="58"/>
  <c r="G21" i="58"/>
  <c r="H23" i="58"/>
  <c r="H24" i="58"/>
  <c r="H18" i="58"/>
  <c r="J20" i="58"/>
  <c r="G17" i="58"/>
  <c r="G16" i="58"/>
  <c r="G20" i="58"/>
  <c r="H27" i="58"/>
  <c r="H17" i="58"/>
  <c r="J25" i="58"/>
  <c r="G23" i="58"/>
  <c r="G27" i="58"/>
  <c r="O20" i="58"/>
  <c r="O16" i="58"/>
  <c r="K24" i="58"/>
  <c r="R18" i="58"/>
  <c r="R17" i="58"/>
  <c r="R27" i="58"/>
  <c r="R26" i="58"/>
  <c r="R21" i="58"/>
  <c r="O22" i="58"/>
  <c r="O18" i="58"/>
  <c r="O23" i="58"/>
  <c r="O19" i="58"/>
  <c r="N26" i="58"/>
  <c r="R20" i="58"/>
  <c r="R23" i="58"/>
  <c r="K19" i="58"/>
  <c r="O27" i="58"/>
  <c r="O21" i="58"/>
  <c r="O25" i="58"/>
  <c r="N16" i="58"/>
  <c r="R16" i="58"/>
  <c r="R25" i="58"/>
  <c r="O17" i="58"/>
  <c r="K26" i="58"/>
  <c r="J22" i="58"/>
  <c r="J24" i="58"/>
  <c r="J19" i="58"/>
  <c r="J26" i="58"/>
  <c r="J17" i="58"/>
  <c r="J23" i="58"/>
  <c r="J16" i="58"/>
  <c r="J21" i="58"/>
  <c r="R22" i="58"/>
  <c r="R24" i="58"/>
  <c r="G24" i="58"/>
  <c r="G22" i="58"/>
  <c r="G19" i="58"/>
  <c r="N21" i="58"/>
  <c r="K21" i="58"/>
  <c r="K16" i="58"/>
  <c r="K18" i="58"/>
  <c r="K27" i="58"/>
  <c r="K17" i="58"/>
  <c r="K30" i="58"/>
  <c r="N23" i="58"/>
  <c r="N24" i="58"/>
  <c r="N18" i="58"/>
  <c r="N27" i="58"/>
  <c r="N17" i="58"/>
  <c r="N22" i="58"/>
  <c r="N19" i="58"/>
  <c r="N20" i="58"/>
  <c r="K20" i="58"/>
  <c r="K23" i="58"/>
  <c r="M30" i="58"/>
  <c r="P30" i="58"/>
  <c r="N30" i="58"/>
  <c r="R30" i="58"/>
  <c r="J30" i="58"/>
  <c r="Q19" i="59"/>
  <c r="X19" i="59" s="1"/>
  <c r="R17" i="59"/>
  <c r="X17" i="59" s="1"/>
  <c r="R16" i="55" a="1"/>
  <c r="AA16" i="59"/>
  <c r="A1" i="56"/>
  <c r="S6" i="56" s="1"/>
  <c r="R36" i="63" l="1"/>
  <c r="P35" i="63"/>
  <c r="P36" i="63"/>
  <c r="R35" i="63"/>
  <c r="Q36" i="63"/>
  <c r="Q35" i="63"/>
  <c r="O36" i="63"/>
  <c r="O35" i="63"/>
  <c r="N35" i="63"/>
  <c r="N36" i="63"/>
  <c r="M35" i="63"/>
  <c r="M36" i="63"/>
  <c r="F22" i="55"/>
  <c r="O19" i="57"/>
  <c r="Q22" i="57"/>
  <c r="F30" i="55"/>
  <c r="F20" i="55"/>
  <c r="L36" i="63"/>
  <c r="L35" i="63"/>
  <c r="M26" i="55"/>
  <c r="H26" i="55"/>
  <c r="F24" i="55"/>
  <c r="F23" i="55"/>
  <c r="N24" i="55"/>
  <c r="F21" i="55"/>
  <c r="F18" i="55"/>
  <c r="F17" i="55"/>
  <c r="E9" i="63"/>
  <c r="F19" i="55"/>
  <c r="F25" i="55"/>
  <c r="O21" i="57"/>
  <c r="O22" i="57"/>
  <c r="O27" i="57"/>
  <c r="Q17" i="57"/>
  <c r="Q23" i="57"/>
  <c r="O18" i="57"/>
  <c r="O23" i="57"/>
  <c r="P18" i="57"/>
  <c r="Q18" i="57"/>
  <c r="Q21" i="57"/>
  <c r="Q20" i="57"/>
  <c r="P19" i="57"/>
  <c r="Q27" i="57"/>
  <c r="Q24" i="57"/>
  <c r="Q16" i="57"/>
  <c r="Q26" i="57"/>
  <c r="P20" i="57"/>
  <c r="Q19" i="57"/>
  <c r="P21" i="57"/>
  <c r="N16" i="57"/>
  <c r="M27" i="57"/>
  <c r="M19" i="57"/>
  <c r="M21" i="57"/>
  <c r="O25" i="57"/>
  <c r="O26" i="57"/>
  <c r="O16" i="57"/>
  <c r="M24" i="57"/>
  <c r="O20" i="57"/>
  <c r="O17" i="57"/>
  <c r="M23" i="57"/>
  <c r="P16" i="57"/>
  <c r="P17" i="57"/>
  <c r="P25" i="57"/>
  <c r="P26" i="57"/>
  <c r="P27" i="57"/>
  <c r="P23" i="57"/>
  <c r="P24" i="57"/>
  <c r="L22" i="57"/>
  <c r="L20" i="57"/>
  <c r="S20" i="57"/>
  <c r="S21" i="57"/>
  <c r="L17" i="57"/>
  <c r="L23" i="57"/>
  <c r="S19" i="57"/>
  <c r="S25" i="57"/>
  <c r="S27" i="57"/>
  <c r="L16" i="57"/>
  <c r="S22" i="57"/>
  <c r="S18" i="57"/>
  <c r="S16" i="57"/>
  <c r="S26" i="57"/>
  <c r="L24" i="57"/>
  <c r="L21" i="57"/>
  <c r="S17" i="57"/>
  <c r="S24" i="57"/>
  <c r="T24" i="57" s="1"/>
  <c r="L27" i="57"/>
  <c r="K23" i="57"/>
  <c r="G21" i="57"/>
  <c r="G18" i="57"/>
  <c r="M26" i="57"/>
  <c r="H22" i="57"/>
  <c r="M20" i="57"/>
  <c r="M22" i="57"/>
  <c r="I24" i="57"/>
  <c r="N26" i="57"/>
  <c r="L19" i="57"/>
  <c r="L26" i="57"/>
  <c r="L18" i="57"/>
  <c r="N27" i="57"/>
  <c r="N19" i="57"/>
  <c r="N25" i="57"/>
  <c r="N23" i="57"/>
  <c r="N20" i="57"/>
  <c r="I20" i="57"/>
  <c r="I16" i="57"/>
  <c r="I27" i="57"/>
  <c r="I25" i="57"/>
  <c r="N21" i="57"/>
  <c r="N24" i="57"/>
  <c r="I21" i="57"/>
  <c r="I17" i="57"/>
  <c r="I23" i="57"/>
  <c r="L22" i="55"/>
  <c r="N22" i="57"/>
  <c r="N18" i="57"/>
  <c r="I19" i="57"/>
  <c r="I26" i="57"/>
  <c r="I22" i="57"/>
  <c r="R23" i="57"/>
  <c r="H16" i="57"/>
  <c r="M16" i="57"/>
  <c r="M18" i="57"/>
  <c r="R19" i="57"/>
  <c r="M17" i="57"/>
  <c r="K20" i="57"/>
  <c r="K27" i="57"/>
  <c r="R27" i="57"/>
  <c r="R25" i="57"/>
  <c r="R20" i="57"/>
  <c r="H18" i="57"/>
  <c r="H36" i="63"/>
  <c r="G17" i="57"/>
  <c r="G24" i="57"/>
  <c r="H23" i="57"/>
  <c r="H26" i="57"/>
  <c r="G26" i="57"/>
  <c r="G19" i="57"/>
  <c r="H19" i="57"/>
  <c r="G20" i="57"/>
  <c r="G16" i="57"/>
  <c r="G25" i="57"/>
  <c r="G27" i="57"/>
  <c r="H24" i="57"/>
  <c r="H17" i="57"/>
  <c r="H21" i="57"/>
  <c r="G23" i="57"/>
  <c r="H25" i="57"/>
  <c r="H20" i="57"/>
  <c r="J35" i="63"/>
  <c r="K35" i="63"/>
  <c r="J26" i="57"/>
  <c r="J27" i="57"/>
  <c r="J24" i="57"/>
  <c r="J20" i="57"/>
  <c r="J16" i="57"/>
  <c r="J17" i="57"/>
  <c r="J18" i="57"/>
  <c r="J21" i="57"/>
  <c r="J22" i="57"/>
  <c r="J23" i="57"/>
  <c r="J25" i="57"/>
  <c r="R22" i="57"/>
  <c r="R18" i="57"/>
  <c r="K26" i="57"/>
  <c r="K22" i="57"/>
  <c r="K18" i="57"/>
  <c r="K19" i="57"/>
  <c r="R26" i="57"/>
  <c r="R17" i="57"/>
  <c r="K21" i="57"/>
  <c r="K17" i="57"/>
  <c r="K24" i="57"/>
  <c r="R16" i="57"/>
  <c r="R21" i="57"/>
  <c r="K25" i="57"/>
  <c r="H35" i="63"/>
  <c r="K36" i="63"/>
  <c r="J36" i="63"/>
  <c r="I36" i="63"/>
  <c r="I35" i="63"/>
  <c r="Q24" i="55"/>
  <c r="K16" i="55"/>
  <c r="K17" i="55"/>
  <c r="K23" i="55"/>
  <c r="Q23" i="55"/>
  <c r="Q17" i="55"/>
  <c r="K24" i="55"/>
  <c r="K20" i="55"/>
  <c r="K21" i="55"/>
  <c r="M25" i="55"/>
  <c r="P22" i="55"/>
  <c r="P23" i="55"/>
  <c r="P19" i="55"/>
  <c r="H23" i="55"/>
  <c r="G24" i="55"/>
  <c r="M18" i="55"/>
  <c r="M16" i="55"/>
  <c r="P24" i="55"/>
  <c r="P25" i="55"/>
  <c r="M19" i="55"/>
  <c r="M23" i="55"/>
  <c r="M17" i="55"/>
  <c r="P26" i="55"/>
  <c r="P16" i="55"/>
  <c r="P27" i="55"/>
  <c r="M27" i="55"/>
  <c r="H27" i="55"/>
  <c r="H18" i="55"/>
  <c r="P21" i="55"/>
  <c r="P17" i="55"/>
  <c r="P20" i="55"/>
  <c r="H24" i="55"/>
  <c r="I17" i="55"/>
  <c r="M21" i="55"/>
  <c r="M24" i="55"/>
  <c r="H20" i="55"/>
  <c r="H17" i="55"/>
  <c r="M22" i="55"/>
  <c r="H16" i="55"/>
  <c r="H25" i="55"/>
  <c r="H19" i="55"/>
  <c r="H22" i="55"/>
  <c r="O16" i="55"/>
  <c r="N22" i="55"/>
  <c r="Q20" i="55"/>
  <c r="Q19" i="55"/>
  <c r="J24" i="55"/>
  <c r="Q22" i="55"/>
  <c r="Q27" i="55"/>
  <c r="Q21" i="55"/>
  <c r="Q25" i="55"/>
  <c r="K26" i="55"/>
  <c r="K22" i="55"/>
  <c r="J26" i="55"/>
  <c r="J23" i="55"/>
  <c r="J21" i="55"/>
  <c r="J27" i="55"/>
  <c r="J18" i="55"/>
  <c r="J22" i="55"/>
  <c r="J19" i="55"/>
  <c r="Q18" i="55"/>
  <c r="J16" i="55"/>
  <c r="Q16" i="55"/>
  <c r="K19" i="55"/>
  <c r="K18" i="55"/>
  <c r="J17" i="55"/>
  <c r="J20" i="55"/>
  <c r="K25" i="55"/>
  <c r="I24" i="55"/>
  <c r="L25" i="55"/>
  <c r="L27" i="55"/>
  <c r="L23" i="55"/>
  <c r="I23" i="55"/>
  <c r="I19" i="55"/>
  <c r="L16" i="55"/>
  <c r="I22" i="55"/>
  <c r="I26" i="55"/>
  <c r="L20" i="55"/>
  <c r="L21" i="55"/>
  <c r="L18" i="55"/>
  <c r="I25" i="55"/>
  <c r="N26" i="55"/>
  <c r="G20" i="55"/>
  <c r="O23" i="55"/>
  <c r="I16" i="55"/>
  <c r="I27" i="55"/>
  <c r="L19" i="55"/>
  <c r="L26" i="55"/>
  <c r="I20" i="55"/>
  <c r="L24" i="55"/>
  <c r="I18" i="55"/>
  <c r="G26" i="55"/>
  <c r="N21" i="55"/>
  <c r="N25" i="55"/>
  <c r="G21" i="55"/>
  <c r="G23" i="55"/>
  <c r="G19" i="55"/>
  <c r="O26" i="55"/>
  <c r="O22" i="55"/>
  <c r="N16" i="55"/>
  <c r="N23" i="55"/>
  <c r="O20" i="55"/>
  <c r="G16" i="55"/>
  <c r="G27" i="55"/>
  <c r="G18" i="55"/>
  <c r="O25" i="55"/>
  <c r="O19" i="55"/>
  <c r="N27" i="55"/>
  <c r="N17" i="55"/>
  <c r="N18" i="55"/>
  <c r="N20" i="55"/>
  <c r="O21" i="55"/>
  <c r="O24" i="55"/>
  <c r="G17" i="55"/>
  <c r="G25" i="55"/>
  <c r="O17" i="55"/>
  <c r="O27" i="55"/>
  <c r="S16" i="55" a="1"/>
  <c r="G30" i="55" a="1"/>
  <c r="S17" i="59"/>
  <c r="T17" i="59" s="1"/>
  <c r="H30" i="59"/>
  <c r="H37" i="63" s="1"/>
  <c r="S19" i="59"/>
  <c r="J30" i="59"/>
  <c r="J37" i="63" s="1"/>
  <c r="R19" i="55"/>
  <c r="R21" i="55"/>
  <c r="R22" i="55"/>
  <c r="R25" i="55"/>
  <c r="R27" i="55"/>
  <c r="R24" i="55"/>
  <c r="R16" i="55"/>
  <c r="R17" i="55"/>
  <c r="R18" i="55"/>
  <c r="R20" i="55"/>
  <c r="R26" i="55"/>
  <c r="R23" i="55"/>
  <c r="T27" i="58"/>
  <c r="T19" i="58"/>
  <c r="T23" i="57"/>
  <c r="T17" i="58"/>
  <c r="T24" i="58"/>
  <c r="T26" i="58"/>
  <c r="T23" i="59"/>
  <c r="T25" i="59"/>
  <c r="T26" i="59"/>
  <c r="T24" i="59"/>
  <c r="T27" i="59"/>
  <c r="T18" i="58"/>
  <c r="T21" i="59"/>
  <c r="T22" i="59"/>
  <c r="T20" i="58"/>
  <c r="T21" i="58"/>
  <c r="T22" i="58"/>
  <c r="T23" i="58"/>
  <c r="T25" i="58"/>
  <c r="J8" i="1"/>
  <c r="T26" i="57" l="1"/>
  <c r="T21" i="57"/>
  <c r="T27" i="57"/>
  <c r="T25" i="57"/>
  <c r="T22" i="57"/>
  <c r="T19" i="57"/>
  <c r="T17" i="57"/>
  <c r="T20" i="57"/>
  <c r="T18" i="57"/>
  <c r="T19" i="59"/>
  <c r="T18" i="59"/>
  <c r="T20" i="59"/>
  <c r="N30" i="55"/>
  <c r="H30" i="55"/>
  <c r="P30" i="55"/>
  <c r="Q30" i="55"/>
  <c r="J30" i="55"/>
  <c r="I30" i="55"/>
  <c r="L30" i="55"/>
  <c r="G30" i="55"/>
  <c r="G34" i="63" s="1"/>
  <c r="K30" i="55"/>
  <c r="M30" i="55"/>
  <c r="O30" i="55"/>
  <c r="R30" i="55"/>
  <c r="S25" i="55"/>
  <c r="S16" i="55"/>
  <c r="S17" i="55"/>
  <c r="S20" i="55"/>
  <c r="S22" i="55"/>
  <c r="S27" i="55"/>
  <c r="S26" i="55"/>
  <c r="S23" i="55"/>
  <c r="S24" i="55"/>
  <c r="S19" i="55"/>
  <c r="S21" i="55"/>
  <c r="S18" i="55"/>
  <c r="J11" i="1"/>
  <c r="J10" i="1"/>
  <c r="J9" i="1"/>
  <c r="R34" i="63" l="1"/>
  <c r="P34" i="63"/>
  <c r="Q34" i="63"/>
  <c r="O34" i="63"/>
  <c r="N34" i="63"/>
  <c r="M34" i="63"/>
  <c r="L34" i="63"/>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Q13" i="56" s="1"/>
  <c r="L985" i="65"/>
  <c r="P986" i="65"/>
  <c r="T987" i="65"/>
  <c r="P16" i="56" s="1"/>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Q16" i="56" s="1"/>
  <c r="L983" i="65"/>
  <c r="P984" i="65"/>
  <c r="T985" i="65"/>
  <c r="L987" i="65"/>
  <c r="P988" i="65"/>
  <c r="T989" i="65"/>
  <c r="P13" i="56" s="1"/>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P17" i="56" s="1"/>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Q14" i="56" s="1"/>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O945" i="65"/>
  <c r="N953" i="65"/>
  <c r="R958" i="65"/>
  <c r="J964" i="65"/>
  <c r="N969" i="65"/>
  <c r="K939" i="65"/>
  <c r="S951" i="65"/>
  <c r="K957" i="65"/>
  <c r="K942" i="65"/>
  <c r="P952" i="65"/>
  <c r="T956" i="65"/>
  <c r="P959" i="65"/>
  <c r="L962" i="65"/>
  <c r="T964" i="65"/>
  <c r="P967" i="65"/>
  <c r="L970" i="65"/>
  <c r="S966" i="65"/>
  <c r="L972" i="65"/>
  <c r="T974" i="65"/>
  <c r="P977" i="65"/>
  <c r="L980" i="65"/>
  <c r="T982" i="65"/>
  <c r="Q17" i="56" s="1"/>
  <c r="W17" i="56" s="1"/>
  <c r="P985" i="65"/>
  <c r="L988" i="65"/>
  <c r="T990" i="65"/>
  <c r="P14" i="56" s="1"/>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R14" i="56" l="1"/>
  <c r="R16" i="56"/>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X17" i="56" l="1"/>
  <c r="R17" i="56"/>
  <c r="S14" i="57"/>
  <c r="M14" i="57"/>
  <c r="O14" i="57"/>
  <c r="R14" i="57"/>
  <c r="S13" i="57"/>
  <c r="S15" i="57" s="1"/>
  <c r="N14" i="57"/>
  <c r="I14" i="57"/>
  <c r="K13" i="57"/>
  <c r="K15" i="57" s="1"/>
  <c r="P13" i="57"/>
  <c r="P15" i="57" s="1"/>
  <c r="M13" i="57"/>
  <c r="M15" i="57" s="1"/>
  <c r="J14" i="57"/>
  <c r="P14" i="57"/>
  <c r="O13" i="57"/>
  <c r="O15" i="57" s="1"/>
  <c r="H13" i="57"/>
  <c r="H15" i="57" s="1"/>
  <c r="G13" i="57"/>
  <c r="G15" i="57" s="1"/>
  <c r="Q14" i="57"/>
  <c r="Q13" i="57"/>
  <c r="Q15" i="57" s="1"/>
  <c r="L13" i="57"/>
  <c r="L15" i="57" s="1"/>
  <c r="L14" i="57"/>
  <c r="G14" i="57"/>
  <c r="K14" i="57"/>
  <c r="J13" i="57"/>
  <c r="J15" i="57" s="1"/>
  <c r="R13" i="57"/>
  <c r="R15" i="57" s="1"/>
  <c r="N13" i="57"/>
  <c r="N15" i="57" s="1"/>
  <c r="H14" i="57"/>
  <c r="I13" i="57"/>
  <c r="I15" i="57" s="1"/>
  <c r="R14" i="58"/>
  <c r="P14" i="58"/>
  <c r="M14" i="58"/>
  <c r="G13" i="58"/>
  <c r="G15" i="58" s="1"/>
  <c r="I13" i="58"/>
  <c r="I15" i="58" s="1"/>
  <c r="S13" i="58"/>
  <c r="S15" i="58" s="1"/>
  <c r="L13" i="58"/>
  <c r="L15" i="58" s="1"/>
  <c r="R13" i="58"/>
  <c r="R15" i="58" s="1"/>
  <c r="P13" i="58"/>
  <c r="P15" i="58" s="1"/>
  <c r="M13" i="58"/>
  <c r="M15" i="58" s="1"/>
  <c r="G14" i="58"/>
  <c r="I14" i="58"/>
  <c r="S14" i="58"/>
  <c r="L14" i="58"/>
  <c r="K13" i="58"/>
  <c r="K15" i="58" s="1"/>
  <c r="H13" i="58"/>
  <c r="H15" i="58" s="1"/>
  <c r="O13" i="58"/>
  <c r="O15" i="58" s="1"/>
  <c r="N14" i="58"/>
  <c r="J14" i="58"/>
  <c r="Q13" i="58"/>
  <c r="Q15" i="58" s="1"/>
  <c r="K14" i="58"/>
  <c r="H14" i="58"/>
  <c r="O14" i="58"/>
  <c r="N13" i="58"/>
  <c r="N15" i="58" s="1"/>
  <c r="J13" i="58"/>
  <c r="J15" i="58" s="1"/>
  <c r="Q14" i="58"/>
  <c r="L13" i="59"/>
  <c r="L15" i="59" s="1"/>
  <c r="H13" i="59"/>
  <c r="H15" i="59" s="1"/>
  <c r="O13" i="59"/>
  <c r="O15" i="59" s="1"/>
  <c r="N14" i="59"/>
  <c r="J13" i="59"/>
  <c r="J15" i="59" s="1"/>
  <c r="P13" i="59"/>
  <c r="P15" i="59" s="1"/>
  <c r="R13" i="59"/>
  <c r="R15" i="59" s="1"/>
  <c r="K13" i="59"/>
  <c r="K15" i="59" s="1"/>
  <c r="M14" i="59"/>
  <c r="I14" i="59"/>
  <c r="S13" i="59"/>
  <c r="S15" i="59" s="1"/>
  <c r="G13" i="59"/>
  <c r="G15" i="59" s="1"/>
  <c r="L14" i="59"/>
  <c r="H14" i="59"/>
  <c r="O14" i="59"/>
  <c r="N13" i="59"/>
  <c r="N15" i="59" s="1"/>
  <c r="J14" i="59"/>
  <c r="P14" i="59"/>
  <c r="R14" i="59"/>
  <c r="K14" i="59"/>
  <c r="M13" i="59"/>
  <c r="M15" i="59" s="1"/>
  <c r="I13" i="59"/>
  <c r="I15" i="59" s="1"/>
  <c r="Q13" i="59"/>
  <c r="Q15" i="59" s="1"/>
  <c r="G14" i="59"/>
  <c r="W14" i="59"/>
  <c r="X14" i="59"/>
  <c r="Q14" i="59"/>
  <c r="W13" i="59"/>
  <c r="W15" i="59" s="1"/>
  <c r="X13" i="59"/>
  <c r="X15" i="59" s="1"/>
  <c r="V14" i="59"/>
  <c r="U14" i="59"/>
  <c r="V13" i="59"/>
  <c r="V15" i="59" s="1"/>
  <c r="U13" i="59"/>
  <c r="U15" i="59" s="1"/>
  <c r="S14" i="59"/>
  <c r="K13" i="55"/>
  <c r="K15" i="55" s="1"/>
  <c r="R13" i="55"/>
  <c r="R15" i="55" s="1"/>
  <c r="L14" i="55"/>
  <c r="G14" i="55"/>
  <c r="P13" i="55"/>
  <c r="P15" i="55" s="1"/>
  <c r="Q13" i="55"/>
  <c r="Q15" i="55" s="1"/>
  <c r="H13" i="55"/>
  <c r="H15" i="55" s="1"/>
  <c r="O13" i="55"/>
  <c r="O15" i="55" s="1"/>
  <c r="J13" i="55"/>
  <c r="J15" i="55" s="1"/>
  <c r="M14" i="55"/>
  <c r="H14" i="55"/>
  <c r="O14" i="55"/>
  <c r="J14" i="55"/>
  <c r="M13" i="55"/>
  <c r="M15" i="55" s="1"/>
  <c r="K14" i="55"/>
  <c r="R14" i="55"/>
  <c r="L13" i="55"/>
  <c r="L15" i="55" s="1"/>
  <c r="G13" i="55"/>
  <c r="G15" i="55" s="1"/>
  <c r="P14" i="55"/>
  <c r="Q14" i="55"/>
  <c r="N13" i="55"/>
  <c r="N15" i="55" s="1"/>
  <c r="I13" i="55"/>
  <c r="I15" i="55" s="1"/>
  <c r="N14" i="55"/>
  <c r="I14" i="55"/>
  <c r="S13" i="55"/>
  <c r="S15" i="55" s="1"/>
  <c r="S14" i="55"/>
  <c r="O14" i="61"/>
  <c r="O19" i="61"/>
  <c r="O17" i="61"/>
  <c r="O15" i="61"/>
  <c r="O12" i="61"/>
  <c r="O18" i="61"/>
  <c r="O11" i="61"/>
  <c r="O13" i="61"/>
  <c r="O10" i="61"/>
  <c r="O16" i="61"/>
  <c r="K34" i="56"/>
  <c r="K28" i="56"/>
  <c r="K27" i="56"/>
  <c r="K30" i="56"/>
  <c r="K31" i="56"/>
  <c r="K29" i="56"/>
  <c r="O25" i="61" a="1"/>
  <c r="V25" i="57"/>
  <c r="E6" i="58"/>
  <c r="U20" i="57"/>
  <c r="W26" i="57"/>
  <c r="E6" i="61"/>
  <c r="V16" i="58"/>
  <c r="E6" i="56"/>
  <c r="E6" i="57"/>
  <c r="U25" i="58"/>
  <c r="U27" i="58"/>
  <c r="U26" i="58"/>
  <c r="U21" i="58"/>
  <c r="U23" i="58"/>
  <c r="U22" i="58"/>
  <c r="U20" i="58"/>
  <c r="U17" i="58"/>
  <c r="U18" i="58"/>
  <c r="U24" i="58"/>
  <c r="V21" i="57"/>
  <c r="V26" i="57"/>
  <c r="V24" i="57"/>
  <c r="V23" i="57"/>
  <c r="V27" i="57"/>
  <c r="V18" i="57"/>
  <c r="V20" i="57"/>
  <c r="V22" i="57"/>
  <c r="V16" i="57"/>
  <c r="X18" i="58"/>
  <c r="X19" i="58"/>
  <c r="X26" i="58"/>
  <c r="X17" i="58"/>
  <c r="X22" i="58"/>
  <c r="X25" i="58"/>
  <c r="X16" i="58"/>
  <c r="X20" i="58"/>
  <c r="X23" i="58"/>
  <c r="X21" i="58"/>
  <c r="X27" i="58"/>
  <c r="X16" i="57"/>
  <c r="X25" i="57"/>
  <c r="X22" i="57"/>
  <c r="X23" i="57"/>
  <c r="X24" i="57"/>
  <c r="X26" i="57"/>
  <c r="X21" i="57"/>
  <c r="X20" i="57"/>
  <c r="X27" i="57"/>
  <c r="X17" i="57"/>
  <c r="X24" i="58"/>
  <c r="V26" i="58"/>
  <c r="V24" i="58"/>
  <c r="V27" i="58"/>
  <c r="V20" i="58"/>
  <c r="V22" i="58"/>
  <c r="V18" i="58"/>
  <c r="V17" i="58"/>
  <c r="V25" i="58"/>
  <c r="V23" i="58"/>
  <c r="V21" i="58"/>
  <c r="W26" i="58"/>
  <c r="W23" i="58"/>
  <c r="W18" i="58"/>
  <c r="W25" i="58"/>
  <c r="W19" i="58"/>
  <c r="W22" i="58"/>
  <c r="W16" i="58"/>
  <c r="W24" i="58"/>
  <c r="W21" i="58"/>
  <c r="W17" i="58"/>
  <c r="W20" i="58"/>
  <c r="W22" i="57"/>
  <c r="W18" i="57"/>
  <c r="W24" i="57"/>
  <c r="W23" i="57"/>
  <c r="W16" i="57"/>
  <c r="W25" i="57"/>
  <c r="W21" i="57"/>
  <c r="W17" i="57"/>
  <c r="W27" i="57"/>
  <c r="W20" i="57"/>
  <c r="U17" i="57"/>
  <c r="U22" i="57"/>
  <c r="U26" i="57"/>
  <c r="U18" i="57"/>
  <c r="U23" i="57"/>
  <c r="U25" i="57"/>
  <c r="U24" i="57"/>
  <c r="U27" i="57"/>
  <c r="U21" i="57"/>
  <c r="V17" i="57"/>
  <c r="W27" i="58"/>
  <c r="X18" i="57"/>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E27" i="1" l="1"/>
  <c r="X14" i="58"/>
  <c r="X13" i="58"/>
  <c r="X15" i="58" s="1"/>
  <c r="W14" i="58"/>
  <c r="W13" i="58"/>
  <c r="W15" i="58" s="1"/>
  <c r="X13" i="57"/>
  <c r="X15" i="57" s="1"/>
  <c r="W13" i="57"/>
  <c r="W15" i="57" s="1"/>
  <c r="V13" i="58"/>
  <c r="V15" i="58" s="1"/>
  <c r="V13" i="57"/>
  <c r="V15" i="57"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U14" i="57" s="1"/>
  <c r="V19" i="57"/>
  <c r="V14" i="57" s="1"/>
  <c r="U16" i="58"/>
  <c r="U13" i="58" s="1"/>
  <c r="U15" i="58" s="1"/>
  <c r="W19" i="57"/>
  <c r="W14" i="57" s="1"/>
  <c r="X19" i="57"/>
  <c r="X14" i="57" s="1"/>
  <c r="S33" i="61"/>
  <c r="U16" i="57"/>
  <c r="U13" i="57" s="1"/>
  <c r="U15" i="57" s="1"/>
  <c r="V19" i="58"/>
  <c r="V14" i="58" s="1"/>
  <c r="S35" i="61"/>
  <c r="U19" i="58"/>
  <c r="U14" i="58" s="1"/>
  <c r="P27" i="56"/>
  <c r="P29" i="56"/>
  <c r="E29" i="1" l="1"/>
  <c r="E28" i="1"/>
  <c r="E30" i="1"/>
  <c r="E26" i="1"/>
  <c r="E25" i="1"/>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<sst xmlns="http://schemas.openxmlformats.org/spreadsheetml/2006/main" count="6553" uniqueCount="244">
  <si>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</si>
  <si>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</si>
  <si>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</si>
  <si>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</si>
  <si>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</si>
  <si>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</si>
  <si>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</si>
  <si>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</si>
  <si>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</si>
  <si>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</si>
  <si>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</si>
  <si>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</si>
  <si>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</si>
  <si>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</si>
  <si>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</si>
  <si>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</si>
  <si>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</si>
  <si>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</si>
  <si>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</si>
  <si>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</si>
  <si>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</si>
  <si>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</si>
  <si>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</si>
  <si>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</si>
  <si>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</si>
  <si>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</si>
  <si>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</si>
  <si>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</si>
  <si>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</si>
  <si>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</si>
  <si>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</si>
  <si>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</si>
  <si>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</si>
  <si>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</si>
  <si>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</si>
  <si>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</si>
  <si>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</si>
  <si>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</si>
  <si>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</si>
  <si>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</si>
  <si>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</si>
  <si>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</si>
  <si>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</si>
  <si>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</si>
  <si>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</si>
  <si>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</si>
  <si>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</si>
  <si>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</si>
  <si>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</si>
  <si>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</si>
  <si>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</si>
  <si>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</si>
  <si>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</si>
  <si>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</si>
  <si>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</si>
  <si>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</si>
  <si>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</si>
  <si>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</si>
  <si>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</si>
  <si>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</si>
  <si>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</si>
  <si>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</si>
  <si>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</si>
  <si>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</si>
  <si>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</si>
  <si>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</si>
  <si>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</si>
  <si>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</si>
  <si>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</si>
  <si>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</si>
  <si>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</si>
  <si>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</si>
  <si>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</si>
  <si>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</si>
  <si>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</si>
  <si>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</si>
  <si>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</si>
  <si>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</si>
  <si>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</si>
  <si>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</si>
  <si>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</si>
  <si>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</si>
  <si>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</si>
  <si>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</si>
  <si>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</si>
  <si>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</si>
  <si>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</si>
  <si>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</si>
  <si>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</si>
  <si>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</si>
  <si>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</si>
  <si>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</si>
  <si>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</si>
  <si>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</si>
  <si>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</si>
  <si>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</si>
  <si>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</si>
  <si>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</si>
  <si>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</si>
  <si>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</si>
  <si>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</si>
  <si>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</si>
  <si>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</si>
  <si>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</si>
  <si>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</si>
  <si>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</si>
  <si>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</si>
  <si>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</si>
  <si>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</si>
  <si>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</si>
  <si>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</si>
  <si>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</si>
  <si>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</si>
  <si>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</si>
  <si>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</si>
  <si>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</si>
  <si>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</si>
  <si>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</si>
  <si>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</si>
  <si>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</si>
  <si>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</si>
  <si>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</si>
  <si>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</si>
  <si>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</si>
  <si>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</si>
  <si>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</si>
  <si>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</si>
  <si>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</si>
  <si>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</si>
  <si>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</si>
  <si>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</si>
  <si>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</si>
  <si>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</si>
  <si>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</si>
  <si>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</si>
  <si>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</si>
  <si>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</si>
  <si>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</si>
  <si>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</si>
  <si>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</si>
  <si>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</si>
  <si>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</si>
  <si>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</si>
  <si>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</si>
  <si>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</si>
  <si>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</si>
  <si>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</si>
  <si>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</si>
  <si>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</si>
  <si>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</si>
  <si>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</si>
  <si>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</si>
  <si>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</si>
  <si>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</si>
  <si>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</si>
  <si>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</si>
  <si>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</si>
  <si>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</si>
  <si>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</si>
  <si>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</si>
  <si>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</si>
  <si>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</si>
  <si>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</si>
  <si>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</si>
  <si>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</si>
  <si>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</si>
  <si>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</si>
  <si>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</si>
  <si>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</si>
  <si>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</si>
  <si>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</si>
  <si>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</si>
  <si>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</si>
  <si>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</si>
  <si>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</si>
  <si>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</si>
  <si>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</si>
  <si>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</si>
  <si>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</si>
  <si>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</si>
  <si>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</si>
  <si>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</si>
  <si>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Fife</t>
  </si>
  <si>
    <t>Telephone: 0778 858 3238</t>
  </si>
  <si>
    <t>Email: richard.m@gtsuk.co.uk</t>
  </si>
  <si>
    <t>Email: cj.gtsuk@btinternet.com</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</si>
  <si>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</si>
  <si>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</si>
  <si>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</si>
  <si>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</si>
  <si>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</si>
  <si>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</si>
  <si>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</si>
  <si>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</si>
  <si>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</si>
  <si>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</si>
  <si>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</si>
  <si>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</si>
  <si>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</si>
  <si>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</si>
  <si>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</si>
  <si>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2 Union Place</t>
  </si>
  <si>
    <t>Anstruther</t>
  </si>
  <si>
    <t>KY10 3HQ</t>
  </si>
  <si>
    <t>Cathy James</t>
  </si>
  <si>
    <t>CONWY COUNTY BOROUGH COUNCIL</t>
  </si>
  <si>
    <t xml:space="preserve">CON </t>
  </si>
  <si>
    <t>Z:\STM\WLS\NWL\CONW\11\ConpvRR11.xlsx</t>
  </si>
  <si>
    <t>Z:\STM\WLS\NWL\CONW\12\ConpvRR12.xlsx</t>
  </si>
  <si>
    <t>Z:\STM\WLS\NWL\CONW\13\ConpvRR13.xlsx</t>
  </si>
  <si>
    <t>Z:\STM\WLS\NWL\CONW\14\ConpvRR14r.xlsx</t>
  </si>
  <si>
    <t>Z:\STM\WLS\NWL\CONW\15\ConpvRR15.xlsx</t>
  </si>
  <si>
    <t>Z:\STM\WLS\NWL\CONW\16\ConpvRR16r.xlsx</t>
  </si>
  <si>
    <t>Z:\STM\WLS\NWL\CONW\17\ConpvRR17rr.xlsx</t>
  </si>
  <si>
    <t>Z:\STM\WLS\NWL\CONW\18\ConpvRR18r.xlsx</t>
  </si>
  <si>
    <t>Z:\STM\WLS\NWL\CONW\19\ConpvRR19.xlsx</t>
  </si>
  <si>
    <t>Z:\STM\WLS\NWL\CONW\20\ConpvRR20.xlsx</t>
  </si>
  <si>
    <t>Z:\STM\WLS\NWL\CONW\21\ConpvRR21.xlsx</t>
  </si>
  <si>
    <t>Z:\STM\WLS\NWL\CONW\22\ConpvRR22.xlsx</t>
  </si>
  <si>
    <t>Conwy</t>
  </si>
  <si>
    <t>2011</t>
  </si>
  <si>
    <t>+50 room hotels</t>
  </si>
  <si>
    <t>10-50 room hotels</t>
  </si>
  <si>
    <t>&lt;10 room hotels/others</t>
  </si>
  <si>
    <t/>
  </si>
  <si>
    <t>Serviced Total</t>
  </si>
  <si>
    <t>Self catering</t>
  </si>
  <si>
    <t>Static caravans/chalets</t>
  </si>
  <si>
    <t>Touring caravans/camping</t>
  </si>
  <si>
    <t>Not-for-hire static</t>
  </si>
  <si>
    <t xml:space="preserve">Non-Serviced Accommodation Total </t>
  </si>
  <si>
    <t>2012</t>
  </si>
  <si>
    <t>2013</t>
  </si>
  <si>
    <t>2014</t>
  </si>
  <si>
    <t>2015</t>
  </si>
  <si>
    <t>2016</t>
  </si>
  <si>
    <t>2017</t>
  </si>
  <si>
    <t>Airbnb</t>
  </si>
  <si>
    <t>2018</t>
  </si>
  <si>
    <t>2019</t>
  </si>
  <si>
    <t>2020</t>
  </si>
  <si>
    <t>2021</t>
  </si>
  <si>
    <t>2022</t>
  </si>
  <si>
    <t>Direct and Total Employment by Month, Year and Visitor Type for the Period 2011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</si>
</sst>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89">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3" fillId="5" borderId="0" xfId="0" applyFont="1" applyFill="1" applyProtection="1">
      <protection hidden="1"/>
    </xf>
    <xf numFmtId="0" fontId="16" fillId="2" borderId="0" xfId="0" applyFont="1" applyFill="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4" fillId="8" borderId="0" xfId="0" applyFont="1" applyFill="1" applyAlignment="1" applyProtection="1">
      <alignment vertical="center" wrapText="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Alignment="1">
      <alignment vertical="center"/>
    </xf>
    <xf numFmtId="0" fontId="25" fillId="30" borderId="0" xfId="0" applyFont="1" applyFill="1" applyAlignment="1">
      <alignment horizontal="right" vertical="center"/>
    </xf>
    <xf numFmtId="0" fontId="21" fillId="30" borderId="0" xfId="0" applyFont="1" applyFill="1" applyAlignment="1">
      <alignment horizontal="right" vertical="center"/>
    </xf>
    <xf numFmtId="0" fontId="21" fillId="30" borderId="0" xfId="0" applyFont="1" applyFill="1" applyAlignment="1">
      <alignment vertical="center"/>
    </xf>
    <xf numFmtId="0" fontId="25" fillId="6" borderId="0" xfId="0" applyFont="1" applyFill="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Border="1" applyAlignment="1">
      <alignment horizontal="center" vertical="center"/>
    </xf>
    <xf numFmtId="172" fontId="25" fillId="30" borderId="0" xfId="0" applyNumberFormat="1" applyFont="1" applyFill="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Alignment="1">
      <alignment vertical="center"/>
    </xf>
    <xf numFmtId="173" fontId="25" fillId="30" borderId="0" xfId="0" applyNumberFormat="1" applyFont="1" applyFill="1" applyAlignment="1">
      <alignment horizontal="right" vertical="center"/>
    </xf>
    <xf numFmtId="9" fontId="26" fillId="0" borderId="10" xfId="1" applyFont="1" applyBorder="1" applyAlignment="1">
      <alignment vertical="center"/>
    </xf>
    <xf numFmtId="2" fontId="26" fillId="0" borderId="10" xfId="1" applyNumberFormat="1" applyFont="1" applyBorder="1" applyAlignment="1">
      <alignment horizontal="center" vertical="center"/>
    </xf>
    <xf numFmtId="0" fontId="0" fillId="3" borderId="2" xfId="0" applyFill="1" applyBorder="1" applyProtection="1">
      <protection hidden="1"/>
    </xf>
    <xf numFmtId="0" fontId="4" fillId="3" borderId="0" xfId="0" applyFont="1" applyFill="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Alignment="1" applyProtection="1">
      <alignment wrapText="1"/>
      <protection hidden="1"/>
    </xf>
    <xf numFmtId="0" fontId="25" fillId="0" borderId="10" xfId="0" applyFont="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Alignment="1" applyProtection="1">
      <alignment horizontal="right"/>
      <protection hidden="1"/>
    </xf>
    <xf numFmtId="9" fontId="36" fillId="0" borderId="10" xfId="1" applyFont="1" applyBorder="1" applyAlignment="1">
      <alignment vertical="center"/>
    </xf>
    <xf numFmtId="2" fontId="36" fillId="0" borderId="10" xfId="1" applyNumberFormat="1" applyFont="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Alignment="1">
      <alignment vertical="center"/>
    </xf>
    <xf numFmtId="0" fontId="14" fillId="0" borderId="0" xfId="0" applyFont="1" applyAlignment="1" applyProtection="1">
      <alignment horizontal="right"/>
      <protection hidden="1"/>
    </xf>
    <xf numFmtId="0" fontId="2" fillId="0" borderId="0" xfId="0" applyFont="1" applyAlignment="1" applyProtection="1">
      <alignment horizontal="right"/>
      <protection hidden="1"/>
    </xf>
    <xf numFmtId="0" fontId="16"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18" xfId="0" applyBorder="1" applyAlignment="1" applyProtection="1">
      <alignment horizontal="right"/>
      <protection hidden="1"/>
    </xf>
    <xf numFmtId="0" fontId="25" fillId="30" borderId="0" xfId="0" applyFont="1" applyFill="1" applyAlignment="1" applyProtection="1">
      <alignment horizontal="center" vertical="center"/>
      <protection hidden="1"/>
    </xf>
    <xf numFmtId="0" fontId="25" fillId="30" borderId="0" xfId="0" applyFont="1" applyFill="1" applyAlignment="1" applyProtection="1">
      <alignment vertical="center"/>
      <protection hidden="1"/>
    </xf>
    <xf numFmtId="0" fontId="25" fillId="30" borderId="0" xfId="0" applyFont="1" applyFill="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Alignment="1" applyProtection="1">
      <alignment horizontal="center" vertical="center"/>
      <protection hidden="1"/>
    </xf>
    <xf numFmtId="0" fontId="40" fillId="30" borderId="0" xfId="0" applyFont="1" applyFill="1" applyAlignment="1" applyProtection="1">
      <alignment horizontal="center" vertical="center"/>
      <protection hidden="1"/>
    </xf>
    <xf numFmtId="0" fontId="24" fillId="0" borderId="10" xfId="0" applyFont="1" applyBorder="1" applyAlignment="1" applyProtection="1">
      <alignment vertical="center"/>
      <protection hidden="1"/>
    </xf>
    <xf numFmtId="0" fontId="22" fillId="0" borderId="10" xfId="0" applyFont="1" applyBorder="1" applyAlignment="1" applyProtection="1">
      <alignment vertical="center" wrapText="1"/>
      <protection hidden="1"/>
    </xf>
    <xf numFmtId="0" fontId="25" fillId="0" borderId="10" xfId="0" applyFont="1" applyBorder="1" applyAlignment="1" applyProtection="1">
      <alignment vertical="center"/>
      <protection hidden="1"/>
    </xf>
    <xf numFmtId="0" fontId="22" fillId="0" borderId="10" xfId="0" applyFont="1" applyBorder="1" applyAlignment="1" applyProtection="1">
      <alignment horizontal="center" vertical="center" wrapText="1"/>
      <protection hidden="1"/>
    </xf>
    <xf numFmtId="0" fontId="24" fillId="0" borderId="10" xfId="0" quotePrefix="1" applyFont="1" applyBorder="1" applyAlignment="1" applyProtection="1">
      <alignment horizontal="center" vertical="center" wrapText="1"/>
      <protection hidden="1"/>
    </xf>
    <xf numFmtId="0" fontId="22" fillId="0" borderId="10" xfId="0" applyFont="1" applyBorder="1" applyAlignment="1" applyProtection="1">
      <alignment horizontal="right" vertical="center"/>
      <protection hidden="1"/>
    </xf>
    <xf numFmtId="0" fontId="22" fillId="0" borderId="10" xfId="0" applyFont="1" applyBorder="1" applyAlignment="1" applyProtection="1">
      <alignment horizontal="center" vertical="center"/>
      <protection hidden="1"/>
    </xf>
    <xf numFmtId="170" fontId="26" fillId="0" borderId="10" xfId="0" applyNumberFormat="1" applyFont="1" applyBorder="1" applyAlignment="1" applyProtection="1">
      <alignment vertical="center"/>
      <protection hidden="1"/>
    </xf>
    <xf numFmtId="165" fontId="26" fillId="0" borderId="10" xfId="1" applyNumberFormat="1" applyFont="1" applyBorder="1" applyAlignment="1" applyProtection="1">
      <alignment horizontal="center" vertical="center"/>
      <protection hidden="1"/>
    </xf>
    <xf numFmtId="170" fontId="26" fillId="0" borderId="14" xfId="0" applyNumberFormat="1" applyFont="1" applyBorder="1" applyAlignment="1" applyProtection="1">
      <alignment vertical="center"/>
      <protection hidden="1"/>
    </xf>
    <xf numFmtId="170" fontId="26" fillId="0" borderId="15" xfId="0" applyNumberFormat="1" applyFont="1" applyBorder="1" applyAlignment="1" applyProtection="1">
      <alignment vertical="center"/>
      <protection hidden="1"/>
    </xf>
    <xf numFmtId="165" fontId="26" fillId="0" borderId="15" xfId="1" applyNumberFormat="1" applyFont="1" applyBorder="1" applyAlignment="1" applyProtection="1">
      <alignment horizontal="center" vertical="center"/>
      <protection hidden="1"/>
    </xf>
    <xf numFmtId="171" fontId="26" fillId="0" borderId="15" xfId="0" applyNumberFormat="1" applyFont="1" applyBorder="1" applyAlignment="1" applyProtection="1">
      <alignment vertical="center"/>
      <protection hidden="1"/>
    </xf>
    <xf numFmtId="165" fontId="26" fillId="0" borderId="16" xfId="1" applyNumberFormat="1" applyFont="1" applyBorder="1" applyAlignment="1" applyProtection="1">
      <alignment horizontal="center" vertical="center"/>
      <protection hidden="1"/>
    </xf>
    <xf numFmtId="171" fontId="26" fillId="0" borderId="10" xfId="0" applyNumberFormat="1" applyFont="1" applyBorder="1" applyAlignment="1" applyProtection="1">
      <alignment vertical="center"/>
      <protection hidden="1"/>
    </xf>
    <xf numFmtId="0" fontId="22" fillId="0" borderId="20" xfId="0" applyFont="1" applyBorder="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22" fillId="0" borderId="21" xfId="0" applyFont="1" applyBorder="1" applyAlignment="1" applyProtection="1">
      <alignment vertical="center" wrapText="1"/>
      <protection hidden="1"/>
    </xf>
    <xf numFmtId="0" fontId="24" fillId="0" borderId="10" xfId="0" applyFont="1" applyBorder="1" applyAlignment="1" applyProtection="1">
      <alignment horizontal="right" vertical="center"/>
      <protection hidden="1"/>
    </xf>
    <xf numFmtId="3" fontId="26" fillId="0" borderId="10" xfId="0" applyNumberFormat="1" applyFont="1" applyBorder="1" applyAlignment="1" applyProtection="1">
      <alignment vertical="center"/>
      <protection hidden="1"/>
    </xf>
    <xf numFmtId="0" fontId="22" fillId="0" borderId="10" xfId="0" applyFont="1" applyBorder="1" applyAlignment="1" applyProtection="1">
      <alignment vertical="center"/>
      <protection hidden="1"/>
    </xf>
    <xf numFmtId="0" fontId="24" fillId="0" borderId="10" xfId="0" applyFont="1" applyBorder="1" applyAlignment="1" applyProtection="1">
      <alignment vertical="center" wrapText="1"/>
      <protection hidden="1"/>
    </xf>
    <xf numFmtId="0" fontId="25" fillId="0" borderId="20" xfId="0" applyFont="1" applyBorder="1" applyAlignment="1" applyProtection="1">
      <alignment vertical="center"/>
      <protection hidden="1"/>
    </xf>
    <xf numFmtId="0" fontId="25" fillId="0" borderId="0" xfId="0" applyFont="1" applyAlignment="1" applyProtection="1">
      <alignment vertical="center"/>
      <protection hidden="1"/>
    </xf>
    <xf numFmtId="0" fontId="24" fillId="0" borderId="20" xfId="0" applyFont="1" applyBorder="1" applyAlignment="1" applyProtection="1">
      <alignment vertical="center"/>
      <protection hidden="1"/>
    </xf>
    <xf numFmtId="0" fontId="22" fillId="0" borderId="20"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4" fillId="0" borderId="0" xfId="0" quotePrefix="1" applyFont="1" applyAlignment="1" applyProtection="1">
      <alignment horizontal="center" vertical="center" wrapText="1"/>
      <protection hidden="1"/>
    </xf>
    <xf numFmtId="3" fontId="26" fillId="0" borderId="20" xfId="0" applyNumberFormat="1" applyFont="1" applyBorder="1" applyAlignment="1" applyProtection="1">
      <alignment vertical="center"/>
      <protection hidden="1"/>
    </xf>
    <xf numFmtId="3" fontId="26" fillId="0" borderId="0" xfId="0" applyNumberFormat="1" applyFont="1" applyAlignment="1" applyProtection="1">
      <alignment vertical="center"/>
      <protection hidden="1"/>
    </xf>
    <xf numFmtId="165" fontId="26" fillId="0" borderId="0" xfId="1" applyNumberFormat="1" applyFont="1" applyAlignment="1" applyProtection="1">
      <alignment horizontal="center" vertical="center"/>
      <protection hidden="1"/>
    </xf>
    <xf numFmtId="171" fontId="27" fillId="0" borderId="10" xfId="0" applyNumberFormat="1" applyFont="1" applyBorder="1" applyAlignment="1" applyProtection="1">
      <alignment vertical="center"/>
      <protection hidden="1"/>
    </xf>
    <xf numFmtId="165" fontId="27" fillId="0" borderId="10" xfId="1" applyNumberFormat="1" applyFont="1" applyBorder="1" applyAlignment="1" applyProtection="1">
      <alignment horizontal="center" vertical="center"/>
      <protection hidden="1"/>
    </xf>
    <xf numFmtId="3" fontId="27" fillId="0" borderId="20" xfId="0" applyNumberFormat="1" applyFont="1" applyBorder="1" applyAlignment="1" applyProtection="1">
      <alignment vertical="center"/>
      <protection hidden="1"/>
    </xf>
    <xf numFmtId="3" fontId="27" fillId="0" borderId="0" xfId="0" applyNumberFormat="1" applyFont="1" applyAlignment="1" applyProtection="1">
      <alignment vertical="center"/>
      <protection hidden="1"/>
    </xf>
    <xf numFmtId="165" fontId="27" fillId="0" borderId="0" xfId="1" applyNumberFormat="1" applyFont="1" applyAlignment="1" applyProtection="1">
      <alignment horizontal="center" vertical="center"/>
      <protection hidden="1"/>
    </xf>
    <xf numFmtId="3" fontId="27" fillId="0" borderId="17" xfId="0" applyNumberFormat="1" applyFont="1" applyBorder="1" applyAlignment="1" applyProtection="1">
      <alignment vertical="center"/>
      <protection hidden="1"/>
    </xf>
    <xf numFmtId="3" fontId="27" fillId="0" borderId="18" xfId="0" applyNumberFormat="1" applyFont="1" applyBorder="1" applyAlignment="1" applyProtection="1">
      <alignment vertical="center"/>
      <protection hidden="1"/>
    </xf>
    <xf numFmtId="165" fontId="27" fillId="0" borderId="18" xfId="1" applyNumberFormat="1"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0" fontId="22" fillId="0" borderId="19" xfId="0" applyFont="1" applyBorder="1" applyAlignment="1" applyProtection="1">
      <alignment vertical="center" wrapText="1"/>
      <protection hidden="1"/>
    </xf>
    <xf numFmtId="0" fontId="21" fillId="30" borderId="0" xfId="0" applyFont="1" applyFill="1" applyAlignment="1" applyProtection="1">
      <alignment horizontal="right" vertical="center"/>
      <protection hidden="1"/>
    </xf>
    <xf numFmtId="0" fontId="28" fillId="2" borderId="17" xfId="0" applyFont="1" applyFill="1" applyBorder="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center" vertical="center" wrapText="1"/>
      <protection hidden="1"/>
    </xf>
    <xf numFmtId="0" fontId="29" fillId="0" borderId="22" xfId="0" applyFont="1" applyBorder="1" applyAlignment="1" applyProtection="1">
      <alignment vertical="center" wrapText="1"/>
      <protection hidden="1"/>
    </xf>
    <xf numFmtId="9" fontId="29" fillId="0" borderId="22" xfId="1" applyFont="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Border="1" applyAlignment="1" applyProtection="1">
      <alignment horizontal="center" vertical="center"/>
      <protection hidden="1"/>
    </xf>
    <xf numFmtId="10" fontId="29" fillId="0" borderId="10" xfId="0" quotePrefix="1" applyNumberFormat="1" applyFont="1" applyBorder="1" applyAlignment="1" applyProtection="1">
      <alignment vertical="center" wrapText="1"/>
      <protection hidden="1"/>
    </xf>
    <xf numFmtId="2" fontId="29" fillId="0" borderId="10" xfId="1" applyNumberFormat="1" applyFont="1" applyBorder="1" applyAlignment="1" applyProtection="1">
      <alignment horizontal="left" vertical="center"/>
      <protection hidden="1"/>
    </xf>
    <xf numFmtId="172" fontId="25" fillId="30" borderId="0" xfId="0" applyNumberFormat="1" applyFont="1" applyFill="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Border="1" applyAlignment="1" applyProtection="1">
      <alignment horizontal="center" vertical="center"/>
      <protection hidden="1"/>
    </xf>
    <xf numFmtId="0" fontId="22" fillId="0" borderId="11" xfId="0" applyFont="1" applyBorder="1" applyAlignment="1" applyProtection="1">
      <alignment horizontal="right" vertical="center"/>
      <protection hidden="1"/>
    </xf>
    <xf numFmtId="0" fontId="22" fillId="0" borderId="12" xfId="0" applyFont="1" applyBorder="1" applyAlignment="1" applyProtection="1">
      <alignment horizontal="center" vertical="center"/>
      <protection hidden="1"/>
    </xf>
    <xf numFmtId="165" fontId="29" fillId="0" borderId="23" xfId="1" applyNumberFormat="1" applyFont="1" applyBorder="1" applyAlignment="1" applyProtection="1">
      <alignment horizontal="center" vertical="center"/>
      <protection hidden="1"/>
    </xf>
    <xf numFmtId="2" fontId="29" fillId="0" borderId="10" xfId="1" applyNumberFormat="1" applyFont="1" applyBorder="1" applyAlignment="1" applyProtection="1">
      <alignment horizontal="center" vertical="center"/>
      <protection hidden="1"/>
    </xf>
    <xf numFmtId="0" fontId="22" fillId="0" borderId="11" xfId="0" applyFont="1" applyBorder="1" applyAlignment="1" applyProtection="1">
      <alignment horizontal="center" vertical="center" wrapText="1"/>
      <protection hidden="1"/>
    </xf>
    <xf numFmtId="3" fontId="22" fillId="0" borderId="10" xfId="1" applyNumberFormat="1" applyFont="1" applyBorder="1" applyAlignment="1" applyProtection="1">
      <alignment horizontal="center" vertical="center"/>
      <protection hidden="1"/>
    </xf>
    <xf numFmtId="165" fontId="29" fillId="0" borderId="10" xfId="1" applyNumberFormat="1" applyFont="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Alignment="1" applyProtection="1">
      <alignment vertical="center"/>
      <protection hidden="1"/>
    </xf>
    <xf numFmtId="0" fontId="24" fillId="0" borderId="11"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2" fillId="0" borderId="11" xfId="0" applyFont="1" applyBorder="1" applyAlignment="1" applyProtection="1">
      <alignment vertical="center"/>
      <protection hidden="1"/>
    </xf>
    <xf numFmtId="0" fontId="22" fillId="0" borderId="12" xfId="0" applyFont="1" applyBorder="1" applyAlignment="1" applyProtection="1">
      <alignment vertical="center"/>
      <protection hidden="1"/>
    </xf>
    <xf numFmtId="0" fontId="22" fillId="0" borderId="13" xfId="0" applyFont="1" applyBorder="1" applyAlignment="1" applyProtection="1">
      <alignment vertical="center"/>
      <protection hidden="1"/>
    </xf>
    <xf numFmtId="0" fontId="22" fillId="0" borderId="23" xfId="0" applyFont="1" applyBorder="1" applyAlignment="1" applyProtection="1">
      <alignment vertical="center" wrapText="1"/>
      <protection hidden="1"/>
    </xf>
    <xf numFmtId="0" fontId="27" fillId="0" borderId="20" xfId="0" applyFont="1" applyBorder="1" applyAlignment="1" applyProtection="1">
      <alignment vertical="center"/>
      <protection hidden="1"/>
    </xf>
    <xf numFmtId="0" fontId="27" fillId="0" borderId="0" xfId="0" applyFont="1" applyAlignment="1" applyProtection="1">
      <alignment vertical="center"/>
      <protection hidden="1"/>
    </xf>
    <xf numFmtId="0" fontId="27" fillId="0" borderId="21" xfId="0" applyFont="1" applyBorder="1" applyAlignment="1" applyProtection="1">
      <alignment vertical="center"/>
      <protection hidden="1"/>
    </xf>
    <xf numFmtId="0" fontId="24" fillId="0" borderId="12" xfId="0" applyFont="1" applyBorder="1" applyAlignment="1" applyProtection="1">
      <alignment vertical="center"/>
      <protection hidden="1"/>
    </xf>
    <xf numFmtId="0" fontId="22" fillId="0" borderId="11" xfId="0" applyFont="1" applyBorder="1" applyAlignment="1" applyProtection="1">
      <alignment vertical="center" wrapText="1"/>
      <protection hidden="1"/>
    </xf>
    <xf numFmtId="0" fontId="22" fillId="0" borderId="12" xfId="0" applyFont="1" applyBorder="1" applyAlignment="1" applyProtection="1">
      <alignment vertical="center" wrapText="1"/>
      <protection hidden="1"/>
    </xf>
    <xf numFmtId="0" fontId="22" fillId="0" borderId="13" xfId="0" applyFont="1" applyBorder="1" applyAlignment="1" applyProtection="1">
      <alignment vertical="center" wrapText="1"/>
      <protection hidden="1"/>
    </xf>
    <xf numFmtId="0" fontId="22" fillId="0" borderId="24" xfId="0" applyFont="1" applyBorder="1" applyAlignment="1" applyProtection="1">
      <alignment vertical="center" wrapText="1"/>
      <protection hidden="1"/>
    </xf>
    <xf numFmtId="0" fontId="27" fillId="0" borderId="17" xfId="0" applyFont="1" applyBorder="1" applyAlignment="1" applyProtection="1">
      <alignment vertical="center"/>
      <protection hidden="1"/>
    </xf>
    <xf numFmtId="0" fontId="27" fillId="0" borderId="18" xfId="0" applyFont="1" applyBorder="1" applyAlignment="1" applyProtection="1">
      <alignment vertical="center"/>
      <protection hidden="1"/>
    </xf>
    <xf numFmtId="0" fontId="27" fillId="0" borderId="19" xfId="0" applyFont="1" applyBorder="1" applyAlignment="1" applyProtection="1">
      <alignment vertical="center"/>
      <protection hidden="1"/>
    </xf>
    <xf numFmtId="0" fontId="25" fillId="0" borderId="11"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22" xfId="0" applyFont="1" applyBorder="1" applyAlignment="1" applyProtection="1">
      <alignment vertical="center" wrapText="1"/>
      <protection hidden="1"/>
    </xf>
    <xf numFmtId="9" fontId="26" fillId="0" borderId="22" xfId="1"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4" fillId="0" borderId="10" xfId="0" quotePrefix="1" applyFont="1" applyBorder="1" applyAlignment="1" applyProtection="1">
      <alignment vertical="center" textRotation="90" wrapText="1"/>
      <protection hidden="1"/>
    </xf>
    <xf numFmtId="1" fontId="27" fillId="0" borderId="11" xfId="1" applyNumberFormat="1" applyFont="1" applyBorder="1" applyAlignment="1" applyProtection="1">
      <alignment horizontal="right" vertical="center"/>
      <protection hidden="1"/>
    </xf>
    <xf numFmtId="0" fontId="22" fillId="0" borderId="13" xfId="0" applyFont="1" applyBorder="1" applyAlignment="1" applyProtection="1">
      <alignment horizontal="center" vertical="center"/>
      <protection hidden="1"/>
    </xf>
    <xf numFmtId="171" fontId="35" fillId="0" borderId="10" xfId="7" applyNumberFormat="1" applyFont="1" applyBorder="1" applyAlignment="1" applyProtection="1">
      <alignment horizontal="center" vertical="center"/>
      <protection hidden="1"/>
    </xf>
    <xf numFmtId="171" fontId="33" fillId="0" borderId="10" xfId="7" applyNumberFormat="1" applyFont="1" applyBorder="1" applyAlignment="1" applyProtection="1">
      <alignment horizontal="center" vertical="center"/>
      <protection hidden="1"/>
    </xf>
    <xf numFmtId="174" fontId="29" fillId="30" borderId="0" xfId="0" applyNumberFormat="1" applyFont="1" applyFill="1" applyAlignment="1" applyProtection="1">
      <alignment vertical="center"/>
      <protection hidden="1"/>
    </xf>
    <xf numFmtId="171" fontId="35" fillId="0" borderId="12" xfId="7" applyNumberFormat="1" applyFont="1" applyBorder="1" applyAlignment="1" applyProtection="1">
      <alignment horizontal="center" vertical="center"/>
      <protection hidden="1"/>
    </xf>
    <xf numFmtId="171" fontId="33" fillId="0" borderId="12" xfId="7" applyNumberFormat="1" applyFont="1" applyBorder="1" applyAlignment="1" applyProtection="1">
      <alignment horizontal="center" vertical="center"/>
      <protection hidden="1"/>
    </xf>
    <xf numFmtId="171" fontId="33" fillId="0" borderId="11" xfId="7" applyNumberFormat="1" applyFont="1" applyBorder="1" applyAlignment="1" applyProtection="1">
      <alignment horizontal="center" vertical="center"/>
      <protection hidden="1"/>
    </xf>
    <xf numFmtId="165" fontId="26" fillId="0" borderId="12" xfId="1" applyNumberFormat="1" applyFont="1" applyBorder="1" applyAlignment="1" applyProtection="1">
      <alignment horizontal="center" vertical="center"/>
      <protection hidden="1"/>
    </xf>
    <xf numFmtId="171" fontId="33" fillId="0" borderId="13" xfId="7" applyNumberFormat="1" applyFont="1" applyBorder="1" applyAlignment="1" applyProtection="1">
      <alignment horizontal="center" vertical="center"/>
      <protection hidden="1"/>
    </xf>
    <xf numFmtId="171" fontId="35" fillId="0" borderId="18" xfId="7" applyNumberFormat="1" applyFont="1" applyBorder="1" applyAlignment="1" applyProtection="1">
      <alignment horizontal="center" vertical="center"/>
      <protection hidden="1"/>
    </xf>
    <xf numFmtId="171" fontId="33" fillId="0" borderId="18" xfId="7" applyNumberFormat="1" applyFont="1" applyBorder="1" applyAlignment="1" applyProtection="1">
      <alignment horizontal="center" vertical="center"/>
      <protection hidden="1"/>
    </xf>
    <xf numFmtId="171" fontId="33" fillId="0" borderId="19" xfId="7" applyNumberFormat="1" applyFont="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Alignment="1" applyProtection="1">
      <alignment vertical="center" wrapText="1"/>
      <protection hidden="1"/>
    </xf>
    <xf numFmtId="0" fontId="24" fillId="2" borderId="0" xfId="0" applyFont="1" applyFill="1" applyAlignment="1" applyProtection="1">
      <alignment horizontal="center" vertical="center"/>
      <protection hidden="1"/>
    </xf>
    <xf numFmtId="0" fontId="22" fillId="2" borderId="0" xfId="0" applyFont="1" applyFill="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4" fillId="2" borderId="0" xfId="0" quotePrefix="1" applyFont="1" applyFill="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Alignment="1" applyProtection="1">
      <alignment horizontal="center" vertical="center"/>
      <protection hidden="1"/>
    </xf>
    <xf numFmtId="170" fontId="26" fillId="2" borderId="0" xfId="0" applyNumberFormat="1" applyFont="1" applyFill="1" applyAlignment="1" applyProtection="1">
      <alignment vertical="center"/>
      <protection hidden="1"/>
    </xf>
    <xf numFmtId="165" fontId="26" fillId="2" borderId="0" xfId="1" applyNumberFormat="1" applyFont="1" applyFill="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Alignment="1" applyProtection="1">
      <alignment horizontal="center" vertical="center" wrapText="1"/>
      <protection hidden="1"/>
    </xf>
    <xf numFmtId="0" fontId="24" fillId="6" borderId="0" xfId="0" quotePrefix="1" applyFont="1" applyFill="1" applyAlignment="1" applyProtection="1">
      <alignment horizontal="center" vertical="center" wrapText="1"/>
      <protection hidden="1"/>
    </xf>
    <xf numFmtId="171" fontId="26" fillId="6" borderId="0" xfId="0" applyNumberFormat="1" applyFont="1" applyFill="1" applyAlignment="1" applyProtection="1">
      <alignment vertical="center"/>
      <protection hidden="1"/>
    </xf>
    <xf numFmtId="165" fontId="26" fillId="6" borderId="0" xfId="1" applyNumberFormat="1" applyFont="1" applyFill="1" applyAlignment="1" applyProtection="1">
      <alignment horizontal="center" vertical="center"/>
      <protection hidden="1"/>
    </xf>
    <xf numFmtId="3" fontId="26" fillId="6" borderId="0" xfId="0" applyNumberFormat="1" applyFont="1" applyFill="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Alignment="1" applyProtection="1">
      <alignment vertical="center"/>
      <protection hidden="1"/>
    </xf>
    <xf numFmtId="171" fontId="27" fillId="21" borderId="0" xfId="0" applyNumberFormat="1" applyFont="1" applyFill="1" applyAlignment="1" applyProtection="1">
      <alignment vertical="center"/>
      <protection hidden="1"/>
    </xf>
    <xf numFmtId="165" fontId="27" fillId="21" borderId="0" xfId="1" applyNumberFormat="1" applyFont="1" applyFill="1" applyAlignment="1" applyProtection="1">
      <alignment horizontal="center" vertical="center"/>
      <protection hidden="1"/>
    </xf>
    <xf numFmtId="0" fontId="22" fillId="21" borderId="0" xfId="0" applyFont="1" applyFill="1" applyAlignment="1" applyProtection="1">
      <alignment vertical="center"/>
      <protection hidden="1"/>
    </xf>
    <xf numFmtId="3" fontId="27" fillId="21" borderId="0" xfId="0" applyNumberFormat="1" applyFont="1" applyFill="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Alignment="1" applyProtection="1">
      <alignment vertical="center"/>
      <protection hidden="1"/>
    </xf>
    <xf numFmtId="165" fontId="26" fillId="21" borderId="0" xfId="1" applyNumberFormat="1" applyFont="1" applyFill="1" applyAlignment="1" applyProtection="1">
      <alignment horizontal="center" vertical="center"/>
      <protection hidden="1"/>
    </xf>
    <xf numFmtId="3" fontId="26" fillId="21" borderId="0" xfId="0" applyNumberFormat="1" applyFont="1" applyFill="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9" fontId="29" fillId="0" borderId="0" xfId="1" applyFont="1" applyAlignment="1" applyProtection="1">
      <alignment horizontal="center" vertical="center"/>
      <protection hidden="1"/>
    </xf>
    <xf numFmtId="9" fontId="29" fillId="0" borderId="21" xfId="1" applyFont="1" applyBorder="1" applyAlignment="1" applyProtection="1">
      <alignment horizontal="center" vertical="center"/>
      <protection hidden="1"/>
    </xf>
    <xf numFmtId="165" fontId="25" fillId="0" borderId="0" xfId="1" applyNumberFormat="1" applyFont="1" applyAlignment="1" applyProtection="1">
      <alignment horizontal="center" vertical="center"/>
      <protection hidden="1"/>
    </xf>
    <xf numFmtId="165" fontId="26" fillId="0" borderId="21" xfId="1" applyNumberFormat="1" applyFont="1" applyBorder="1" applyAlignment="1" applyProtection="1">
      <alignment horizontal="center" vertical="center"/>
      <protection hidden="1"/>
    </xf>
    <xf numFmtId="171" fontId="33" fillId="0" borderId="0" xfId="7" applyNumberFormat="1" applyFont="1" applyAlignment="1" applyProtection="1">
      <alignment horizontal="center" vertical="center"/>
      <protection hidden="1"/>
    </xf>
    <xf numFmtId="171" fontId="35" fillId="0" borderId="0" xfId="7" applyNumberFormat="1" applyFont="1" applyAlignment="1" applyProtection="1">
      <alignment horizontal="center" vertical="center"/>
      <protection hidden="1"/>
    </xf>
    <xf numFmtId="171" fontId="33" fillId="0" borderId="21" xfId="7" applyNumberFormat="1" applyFont="1" applyBorder="1" applyAlignment="1" applyProtection="1">
      <alignment horizontal="center" vertical="center"/>
      <protection hidden="1"/>
    </xf>
    <xf numFmtId="165" fontId="26" fillId="0" borderId="20" xfId="1"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165" fontId="25" fillId="0" borderId="21" xfId="1" applyNumberFormat="1" applyFont="1" applyBorder="1" applyAlignment="1" applyProtection="1">
      <alignment horizontal="center" vertical="center"/>
      <protection hidden="1"/>
    </xf>
    <xf numFmtId="0" fontId="22" fillId="0" borderId="15" xfId="0" applyFont="1" applyBorder="1" applyAlignment="1" applyProtection="1">
      <alignment vertical="center" wrapText="1"/>
      <protection hidden="1"/>
    </xf>
    <xf numFmtId="0" fontId="22" fillId="0" borderId="16" xfId="0" applyFont="1" applyBorder="1" applyAlignment="1" applyProtection="1">
      <alignment vertical="center" wrapText="1"/>
      <protection hidden="1"/>
    </xf>
    <xf numFmtId="0" fontId="22" fillId="0" borderId="14" xfId="0" applyFont="1" applyBorder="1" applyAlignment="1" applyProtection="1">
      <alignment vertical="center" wrapText="1"/>
      <protection hidden="1"/>
    </xf>
    <xf numFmtId="0" fontId="22" fillId="0" borderId="21" xfId="0" applyFont="1" applyBorder="1" applyAlignment="1" applyProtection="1">
      <alignment vertical="center"/>
      <protection hidden="1"/>
    </xf>
    <xf numFmtId="0" fontId="29" fillId="0" borderId="0" xfId="0" applyFont="1" applyAlignment="1" applyProtection="1">
      <alignment vertical="center"/>
      <protection hidden="1"/>
    </xf>
    <xf numFmtId="0" fontId="22" fillId="0" borderId="21" xfId="0" applyFont="1" applyBorder="1" applyAlignment="1" applyProtection="1">
      <alignment horizontal="center" vertical="center"/>
      <protection hidden="1"/>
    </xf>
    <xf numFmtId="165" fontId="29" fillId="0" borderId="0" xfId="1" applyNumberFormat="1" applyFont="1" applyAlignment="1" applyProtection="1">
      <alignment horizontal="center" vertical="center"/>
      <protection hidden="1"/>
    </xf>
    <xf numFmtId="165" fontId="29" fillId="0" borderId="21" xfId="1" applyNumberFormat="1" applyFont="1" applyBorder="1" applyAlignment="1" applyProtection="1">
      <alignment horizontal="center" vertical="center"/>
      <protection hidden="1"/>
    </xf>
    <xf numFmtId="0" fontId="29" fillId="0" borderId="21" xfId="0" applyFont="1" applyBorder="1" applyAlignment="1" applyProtection="1">
      <alignment vertical="center"/>
      <protection hidden="1"/>
    </xf>
    <xf numFmtId="0" fontId="22" fillId="0" borderId="18" xfId="0" applyFont="1" applyBorder="1" applyAlignment="1" applyProtection="1">
      <alignment vertical="center" wrapText="1"/>
      <protection hidden="1"/>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1" fontId="27" fillId="0" borderId="20" xfId="1" applyNumberFormat="1" applyFont="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1" fontId="24" fillId="0" borderId="0" xfId="1" applyNumberFormat="1" applyFont="1" applyAlignment="1" applyProtection="1">
      <alignment horizontal="center" vertical="center"/>
      <protection hidden="1"/>
    </xf>
    <xf numFmtId="1" fontId="24" fillId="0" borderId="21" xfId="1" applyNumberFormat="1" applyFont="1" applyBorder="1" applyAlignment="1" applyProtection="1">
      <alignment horizontal="center" vertical="center"/>
      <protection hidden="1"/>
    </xf>
    <xf numFmtId="1" fontId="24" fillId="0" borderId="20" xfId="1" applyNumberFormat="1" applyFont="1" applyBorder="1" applyAlignment="1" applyProtection="1">
      <alignment horizontal="center" vertical="center"/>
      <protection hidden="1"/>
    </xf>
    <xf numFmtId="171" fontId="35" fillId="0" borderId="0" xfId="7" applyNumberFormat="1" applyFont="1" applyAlignment="1" applyProtection="1">
      <alignment vertical="center"/>
      <protection hidden="1"/>
    </xf>
    <xf numFmtId="171" fontId="35" fillId="0" borderId="21" xfId="7" applyNumberFormat="1" applyFont="1" applyBorder="1" applyAlignment="1" applyProtection="1">
      <alignment vertical="center"/>
      <protection hidden="1"/>
    </xf>
    <xf numFmtId="1" fontId="22" fillId="0" borderId="20" xfId="1" applyNumberFormat="1" applyFont="1" applyBorder="1" applyAlignment="1" applyProtection="1">
      <alignment vertical="center"/>
      <protection hidden="1"/>
    </xf>
    <xf numFmtId="1" fontId="22" fillId="0" borderId="0" xfId="1" applyNumberFormat="1" applyFont="1" applyAlignment="1" applyProtection="1">
      <alignment vertical="center"/>
      <protection hidden="1"/>
    </xf>
    <xf numFmtId="1" fontId="27" fillId="0" borderId="17" xfId="1" applyNumberFormat="1" applyFont="1" applyBorder="1" applyAlignment="1" applyProtection="1">
      <alignment vertical="center"/>
      <protection hidden="1"/>
    </xf>
    <xf numFmtId="1" fontId="27" fillId="0" borderId="18" xfId="1" applyNumberFormat="1" applyFont="1" applyBorder="1" applyAlignment="1" applyProtection="1">
      <alignment vertical="center"/>
      <protection hidden="1"/>
    </xf>
    <xf numFmtId="165" fontId="26" fillId="0" borderId="18" xfId="1" applyNumberFormat="1" applyFont="1" applyBorder="1" applyAlignment="1" applyProtection="1">
      <alignment horizontal="center" vertical="center"/>
      <protection hidden="1"/>
    </xf>
    <xf numFmtId="165" fontId="26" fillId="0" borderId="19" xfId="1" applyNumberFormat="1" applyFont="1" applyBorder="1" applyAlignment="1" applyProtection="1">
      <alignment horizontal="center" vertical="center"/>
      <protection hidden="1"/>
    </xf>
    <xf numFmtId="165" fontId="26" fillId="0" borderId="17" xfId="1" applyNumberFormat="1" applyFont="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Border="1" applyAlignment="1" applyProtection="1">
      <alignment vertical="center"/>
      <protection hidden="1"/>
    </xf>
    <xf numFmtId="1" fontId="22" fillId="0" borderId="17" xfId="1" applyNumberFormat="1" applyFont="1" applyBorder="1" applyAlignment="1" applyProtection="1">
      <alignment vertical="center"/>
      <protection hidden="1"/>
    </xf>
    <xf numFmtId="1" fontId="22" fillId="0" borderId="18" xfId="1" applyNumberFormat="1" applyFont="1" applyBorder="1" applyAlignment="1" applyProtection="1">
      <alignment vertical="center"/>
      <protection hidden="1"/>
    </xf>
    <xf numFmtId="165" fontId="29" fillId="0" borderId="18" xfId="1" applyNumberFormat="1" applyFont="1" applyBorder="1" applyAlignment="1" applyProtection="1">
      <alignment horizontal="center" vertical="center"/>
      <protection hidden="1"/>
    </xf>
    <xf numFmtId="165" fontId="29" fillId="0" borderId="19" xfId="1" applyNumberFormat="1" applyFont="1" applyBorder="1" applyAlignment="1" applyProtection="1">
      <alignment horizontal="center" vertical="center"/>
      <protection hidden="1"/>
    </xf>
    <xf numFmtId="165" fontId="29" fillId="0" borderId="17" xfId="1" applyNumberFormat="1" applyFont="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Alignment="1" applyProtection="1">
      <alignment horizontal="center" vertical="center"/>
      <protection hidden="1"/>
    </xf>
    <xf numFmtId="2" fontId="22" fillId="30" borderId="0" xfId="0" applyNumberFormat="1" applyFont="1" applyFill="1" applyAlignment="1" applyProtection="1">
      <alignment horizontal="center" vertical="center"/>
      <protection hidden="1"/>
    </xf>
    <xf numFmtId="0" fontId="22" fillId="30" borderId="0" xfId="0" applyFont="1" applyFill="1" applyAlignment="1" applyProtection="1">
      <alignment horizontal="center" vertical="center"/>
      <protection hidden="1"/>
    </xf>
    <xf numFmtId="4" fontId="27" fillId="0" borderId="0" xfId="0" applyNumberFormat="1" applyFont="1" applyAlignment="1" applyProtection="1">
      <alignment vertical="center"/>
      <protection hidden="1"/>
    </xf>
    <xf numFmtId="4" fontId="27" fillId="0" borderId="0" xfId="0" applyNumberFormat="1" applyFont="1" applyAlignment="1" applyProtection="1">
      <alignment horizontal="center" vertical="center"/>
      <protection hidden="1"/>
    </xf>
    <xf numFmtId="4" fontId="27" fillId="0" borderId="0" xfId="1" applyNumberFormat="1" applyFont="1" applyAlignment="1" applyProtection="1">
      <alignment horizontal="center" vertical="center"/>
      <protection hidden="1"/>
    </xf>
    <xf numFmtId="4" fontId="27" fillId="0" borderId="21" xfId="1" applyNumberFormat="1" applyFont="1" applyBorder="1" applyAlignment="1" applyProtection="1">
      <alignment horizontal="center" vertical="center"/>
      <protection hidden="1"/>
    </xf>
    <xf numFmtId="1" fontId="27" fillId="0" borderId="20" xfId="1" applyNumberFormat="1" applyFont="1" applyBorder="1" applyAlignment="1" applyProtection="1">
      <alignment vertical="center"/>
      <protection hidden="1"/>
    </xf>
    <xf numFmtId="4" fontId="27" fillId="0" borderId="0" xfId="1" applyNumberFormat="1" applyFont="1" applyAlignment="1" applyProtection="1">
      <alignment vertical="center"/>
      <protection hidden="1"/>
    </xf>
    <xf numFmtId="4" fontId="26" fillId="0" borderId="0" xfId="1" applyNumberFormat="1" applyFont="1" applyAlignment="1" applyProtection="1">
      <alignment horizontal="center" vertical="center"/>
      <protection hidden="1"/>
    </xf>
    <xf numFmtId="4" fontId="26" fillId="0" borderId="21" xfId="1" applyNumberFormat="1" applyFont="1" applyBorder="1" applyAlignment="1" applyProtection="1">
      <alignment horizontal="center" vertical="center"/>
      <protection hidden="1"/>
    </xf>
    <xf numFmtId="173" fontId="22" fillId="0" borderId="14" xfId="0" applyNumberFormat="1" applyFont="1" applyBorder="1" applyAlignment="1" applyProtection="1">
      <alignment horizontal="left" vertical="center" wrapText="1"/>
      <protection hidden="1"/>
    </xf>
    <xf numFmtId="173" fontId="22" fillId="0" borderId="15" xfId="0" applyNumberFormat="1" applyFont="1" applyBorder="1" applyAlignment="1" applyProtection="1">
      <alignment vertical="center" wrapText="1"/>
      <protection hidden="1"/>
    </xf>
    <xf numFmtId="173" fontId="22" fillId="0" borderId="15" xfId="0" applyNumberFormat="1" applyFont="1" applyBorder="1" applyAlignment="1" applyProtection="1">
      <alignment horizontal="center" vertical="center" wrapText="1"/>
      <protection hidden="1"/>
    </xf>
    <xf numFmtId="173" fontId="22" fillId="0" borderId="16" xfId="0" applyNumberFormat="1" applyFont="1" applyBorder="1" applyAlignment="1" applyProtection="1">
      <alignment vertical="center" wrapText="1"/>
      <protection hidden="1"/>
    </xf>
    <xf numFmtId="173" fontId="22" fillId="0" borderId="14" xfId="0" applyNumberFormat="1" applyFont="1" applyBorder="1" applyAlignment="1" applyProtection="1">
      <alignment vertical="center" wrapText="1"/>
      <protection hidden="1"/>
    </xf>
    <xf numFmtId="173" fontId="22" fillId="0" borderId="20" xfId="0" applyNumberFormat="1" applyFont="1" applyBorder="1" applyAlignment="1" applyProtection="1">
      <alignment horizontal="left" vertical="center"/>
      <protection hidden="1"/>
    </xf>
    <xf numFmtId="173" fontId="22" fillId="0" borderId="0" xfId="0" applyNumberFormat="1" applyFont="1" applyAlignment="1" applyProtection="1">
      <alignment vertical="center"/>
      <protection hidden="1"/>
    </xf>
    <xf numFmtId="173" fontId="47" fillId="0" borderId="0" xfId="0" applyNumberFormat="1" applyFont="1" applyAlignment="1" applyProtection="1">
      <alignment vertical="center"/>
      <protection hidden="1"/>
    </xf>
    <xf numFmtId="173" fontId="22" fillId="0" borderId="21" xfId="0" applyNumberFormat="1" applyFont="1" applyBorder="1" applyAlignment="1" applyProtection="1">
      <alignment vertical="center"/>
      <protection hidden="1"/>
    </xf>
    <xf numFmtId="173" fontId="22" fillId="0" borderId="20" xfId="0" applyNumberFormat="1" applyFont="1" applyBorder="1" applyAlignment="1" applyProtection="1">
      <alignment vertical="center"/>
      <protection hidden="1"/>
    </xf>
    <xf numFmtId="173" fontId="22" fillId="0" borderId="0" xfId="0" applyNumberFormat="1" applyFont="1" applyAlignment="1" applyProtection="1">
      <alignment vertical="center" wrapText="1"/>
      <protection hidden="1"/>
    </xf>
    <xf numFmtId="173" fontId="22" fillId="0" borderId="21" xfId="0" applyNumberFormat="1" applyFont="1" applyBorder="1" applyAlignment="1" applyProtection="1">
      <alignment vertical="center" wrapText="1"/>
      <protection hidden="1"/>
    </xf>
    <xf numFmtId="173" fontId="22" fillId="0" borderId="20" xfId="0" applyNumberFormat="1" applyFont="1" applyBorder="1" applyAlignment="1" applyProtection="1">
      <alignment vertical="center" wrapText="1"/>
      <protection hidden="1"/>
    </xf>
    <xf numFmtId="173" fontId="29" fillId="0" borderId="20" xfId="0" applyNumberFormat="1" applyFont="1" applyBorder="1" applyAlignment="1" applyProtection="1">
      <alignment horizontal="left" vertical="center"/>
      <protection hidden="1"/>
    </xf>
    <xf numFmtId="173" fontId="29" fillId="0" borderId="0" xfId="0" applyNumberFormat="1" applyFont="1" applyAlignment="1" applyProtection="1">
      <alignment vertical="center"/>
      <protection hidden="1"/>
    </xf>
    <xf numFmtId="173" fontId="22" fillId="0" borderId="0" xfId="0" applyNumberFormat="1" applyFont="1" applyAlignment="1" applyProtection="1">
      <alignment horizontal="center" vertical="center"/>
      <protection hidden="1"/>
    </xf>
    <xf numFmtId="173" fontId="22" fillId="0" borderId="21" xfId="0" applyNumberFormat="1" applyFont="1" applyBorder="1" applyAlignment="1" applyProtection="1">
      <alignment horizontal="center" vertical="center"/>
      <protection hidden="1"/>
    </xf>
    <xf numFmtId="173" fontId="22" fillId="0" borderId="20" xfId="0" applyNumberFormat="1" applyFont="1" applyBorder="1" applyAlignment="1" applyProtection="1">
      <alignment horizontal="center" vertical="center"/>
      <protection hidden="1"/>
    </xf>
    <xf numFmtId="173" fontId="29" fillId="0" borderId="0" xfId="1" applyNumberFormat="1" applyFont="1" applyAlignment="1" applyProtection="1">
      <alignment horizontal="center" vertical="center"/>
      <protection hidden="1"/>
    </xf>
    <xf numFmtId="173" fontId="29" fillId="0" borderId="21" xfId="1" applyNumberFormat="1" applyFont="1" applyBorder="1" applyAlignment="1" applyProtection="1">
      <alignment horizontal="center" vertical="center"/>
      <protection hidden="1"/>
    </xf>
    <xf numFmtId="173" fontId="29" fillId="0" borderId="20" xfId="1" applyNumberFormat="1" applyFont="1" applyBorder="1" applyAlignment="1" applyProtection="1">
      <alignment horizontal="center" vertical="center"/>
      <protection hidden="1"/>
    </xf>
    <xf numFmtId="173" fontId="22" fillId="0" borderId="0" xfId="0" quotePrefix="1" applyNumberFormat="1" applyFont="1" applyAlignment="1" applyProtection="1">
      <alignment vertical="center" textRotation="90" wrapText="1"/>
      <protection hidden="1"/>
    </xf>
    <xf numFmtId="173" fontId="22" fillId="0" borderId="20" xfId="1" applyNumberFormat="1" applyFont="1" applyBorder="1" applyAlignment="1" applyProtection="1">
      <alignment horizontal="left" vertical="center"/>
      <protection hidden="1"/>
    </xf>
    <xf numFmtId="173" fontId="22" fillId="0" borderId="17" xfId="0" applyNumberFormat="1" applyFont="1" applyBorder="1" applyAlignment="1" applyProtection="1">
      <alignment horizontal="left" vertical="center" wrapText="1"/>
      <protection hidden="1"/>
    </xf>
    <xf numFmtId="173" fontId="22" fillId="0" borderId="18" xfId="0" applyNumberFormat="1" applyFont="1" applyBorder="1" applyAlignment="1" applyProtection="1">
      <alignment vertical="center" wrapText="1"/>
      <protection hidden="1"/>
    </xf>
    <xf numFmtId="173" fontId="22" fillId="0" borderId="19" xfId="0" applyNumberFormat="1" applyFont="1" applyBorder="1" applyAlignment="1" applyProtection="1">
      <alignment vertical="center" wrapText="1"/>
      <protection hidden="1"/>
    </xf>
    <xf numFmtId="173" fontId="22" fillId="0" borderId="17" xfId="0" applyNumberFormat="1" applyFont="1" applyBorder="1" applyAlignment="1" applyProtection="1">
      <alignment vertical="center" wrapText="1"/>
      <protection hidden="1"/>
    </xf>
    <xf numFmtId="173" fontId="47" fillId="0" borderId="0" xfId="1" applyNumberFormat="1" applyFont="1" applyAlignment="1" applyProtection="1">
      <alignment vertical="center"/>
      <protection hidden="1"/>
    </xf>
    <xf numFmtId="173" fontId="33" fillId="0" borderId="0" xfId="7" applyNumberFormat="1" applyFont="1" applyAlignment="1" applyProtection="1">
      <alignment horizontal="center" vertical="center"/>
      <protection hidden="1"/>
    </xf>
    <xf numFmtId="173" fontId="33" fillId="0" borderId="21" xfId="7" applyNumberFormat="1" applyFont="1" applyBorder="1" applyAlignment="1" applyProtection="1">
      <alignment horizontal="center" vertical="center"/>
      <protection hidden="1"/>
    </xf>
    <xf numFmtId="173" fontId="33" fillId="0" borderId="20" xfId="7" applyNumberFormat="1" applyFont="1" applyBorder="1" applyAlignment="1" applyProtection="1">
      <alignment horizontal="center" vertical="center"/>
      <protection hidden="1"/>
    </xf>
    <xf numFmtId="173" fontId="29" fillId="0" borderId="21" xfId="0" applyNumberFormat="1" applyFont="1" applyBorder="1" applyAlignment="1" applyProtection="1">
      <alignment vertical="center"/>
      <protection hidden="1"/>
    </xf>
    <xf numFmtId="173" fontId="29" fillId="0" borderId="20" xfId="0" applyNumberFormat="1" applyFont="1" applyBorder="1" applyAlignment="1" applyProtection="1">
      <alignment vertical="center"/>
      <protection hidden="1"/>
    </xf>
    <xf numFmtId="3" fontId="19" fillId="0" borderId="0" xfId="11" applyFont="1" applyProtection="1">
      <protection hidden="1"/>
    </xf>
    <xf numFmtId="3" fontId="7" fillId="0" borderId="0" xfId="11" applyFont="1" applyProtection="1">
      <protection hidden="1"/>
    </xf>
    <xf numFmtId="3" fontId="38" fillId="0" borderId="2" xfId="11" applyFont="1" applyBorder="1" applyAlignment="1" applyProtection="1">
      <alignment horizontal="center" vertical="center"/>
      <protection hidden="1"/>
    </xf>
    <xf numFmtId="3" fontId="39" fillId="0" borderId="0" xfId="11" applyFont="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171" fontId="35" fillId="0" borderId="15" xfId="7" applyNumberFormat="1" applyFont="1" applyBorder="1" applyAlignment="1" applyProtection="1">
      <alignment vertical="center"/>
      <protection hidden="1"/>
    </xf>
    <xf numFmtId="171" fontId="35" fillId="0" borderId="16" xfId="7" applyNumberFormat="1" applyFont="1" applyBorder="1" applyAlignment="1" applyProtection="1">
      <alignment vertical="center"/>
      <protection hidden="1"/>
    </xf>
    <xf numFmtId="171" fontId="35" fillId="0" borderId="18" xfId="7" applyNumberFormat="1" applyFont="1" applyBorder="1" applyAlignment="1" applyProtection="1">
      <alignment vertical="center"/>
      <protection hidden="1"/>
    </xf>
    <xf numFmtId="171" fontId="35" fillId="0" borderId="19" xfId="7" applyNumberFormat="1"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12" xfId="0" applyFont="1" applyBorder="1" applyAlignment="1" applyProtection="1">
      <alignment vertical="center"/>
      <protection hidden="1"/>
    </xf>
    <xf numFmtId="0" fontId="27" fillId="0" borderId="13" xfId="0" applyFont="1" applyBorder="1" applyAlignment="1" applyProtection="1">
      <alignment vertical="center"/>
      <protection hidden="1"/>
    </xf>
    <xf numFmtId="1" fontId="24" fillId="0" borderId="10" xfId="0" applyNumberFormat="1" applyFont="1" applyBorder="1" applyAlignment="1" applyProtection="1">
      <alignment horizontal="center" vertical="center"/>
      <protection hidden="1"/>
    </xf>
    <xf numFmtId="1" fontId="24" fillId="0" borderId="22" xfId="1" applyNumberFormat="1" applyFont="1" applyBorder="1" applyAlignment="1" applyProtection="1">
      <alignment horizontal="center" vertical="center"/>
      <protection hidden="1"/>
    </xf>
    <xf numFmtId="1" fontId="22" fillId="0" borderId="11" xfId="1" applyNumberFormat="1" applyFont="1" applyBorder="1" applyAlignment="1" applyProtection="1">
      <alignment vertical="center"/>
      <protection hidden="1"/>
    </xf>
    <xf numFmtId="1" fontId="22" fillId="0" borderId="12" xfId="1" applyNumberFormat="1" applyFont="1" applyBorder="1" applyAlignment="1" applyProtection="1">
      <alignment vertical="center"/>
      <protection hidden="1"/>
    </xf>
    <xf numFmtId="1" fontId="27" fillId="0" borderId="11" xfId="1" applyNumberFormat="1" applyFont="1" applyBorder="1" applyAlignment="1" applyProtection="1">
      <alignment vertical="center"/>
      <protection hidden="1"/>
    </xf>
    <xf numFmtId="1" fontId="27" fillId="0" borderId="12" xfId="1" applyNumberFormat="1" applyFont="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Border="1" applyAlignment="1" applyProtection="1">
      <alignment vertical="top" wrapText="1"/>
      <protection hidden="1"/>
    </xf>
    <xf numFmtId="0" fontId="49" fillId="0" borderId="18" xfId="0" applyFont="1" applyBorder="1" applyAlignment="1" applyProtection="1">
      <alignment vertical="top" wrapText="1"/>
      <protection hidden="1"/>
    </xf>
    <xf numFmtId="0" fontId="49" fillId="0" borderId="20" xfId="0" applyFont="1" applyBorder="1" applyAlignment="1" applyProtection="1">
      <alignment vertical="top" wrapText="1"/>
      <protection hidden="1"/>
    </xf>
    <xf numFmtId="0" fontId="49" fillId="0" borderId="0" xfId="0" applyFont="1" applyAlignment="1" applyProtection="1">
      <alignment vertical="top" wrapText="1"/>
      <protection hidden="1"/>
    </xf>
    <xf numFmtId="0" fontId="49" fillId="0" borderId="21" xfId="0" applyFont="1" applyBorder="1" applyAlignment="1" applyProtection="1">
      <alignment vertical="top" wrapText="1"/>
      <protection hidden="1"/>
    </xf>
    <xf numFmtId="0" fontId="49" fillId="0" borderId="19" xfId="0" applyFont="1" applyBorder="1" applyAlignment="1" applyProtection="1">
      <alignment vertical="top" wrapText="1"/>
      <protection hidden="1"/>
    </xf>
    <xf numFmtId="0" fontId="50" fillId="0" borderId="14" xfId="0" applyFont="1" applyBorder="1" applyAlignment="1" applyProtection="1">
      <alignment vertical="center" wrapText="1"/>
      <protection hidden="1"/>
    </xf>
    <xf numFmtId="0" fontId="50" fillId="0" borderId="15" xfId="0" applyFont="1" applyBorder="1" applyAlignment="1" applyProtection="1">
      <alignment vertical="center" wrapText="1"/>
      <protection hidden="1"/>
    </xf>
    <xf numFmtId="0" fontId="50" fillId="0" borderId="16" xfId="0" applyFont="1" applyBorder="1" applyAlignment="1" applyProtection="1">
      <alignment vertical="center" wrapText="1"/>
      <protection hidden="1"/>
    </xf>
    <xf numFmtId="0" fontId="50" fillId="0" borderId="20" xfId="0" applyFont="1" applyBorder="1" applyAlignment="1" applyProtection="1">
      <alignment vertical="center" wrapText="1"/>
      <protection hidden="1"/>
    </xf>
    <xf numFmtId="0" fontId="50" fillId="0" borderId="0" xfId="0" applyFont="1" applyAlignment="1" applyProtection="1">
      <alignment vertical="center" wrapText="1"/>
      <protection hidden="1"/>
    </xf>
    <xf numFmtId="0" fontId="50" fillId="0" borderId="21" xfId="0" applyFont="1" applyBorder="1" applyAlignment="1" applyProtection="1">
      <alignment vertical="center" wrapText="1"/>
      <protection hidden="1"/>
    </xf>
    <xf numFmtId="0" fontId="51" fillId="0" borderId="0" xfId="0" applyFont="1" applyAlignment="1" applyProtection="1">
      <alignment vertical="center"/>
      <protection hidden="1"/>
    </xf>
    <xf numFmtId="0" fontId="51" fillId="0" borderId="0" xfId="0" applyFont="1" applyAlignment="1" applyProtection="1">
      <alignment vertical="top" wrapText="1"/>
      <protection hidden="1"/>
    </xf>
    <xf numFmtId="0" fontId="50" fillId="0" borderId="14" xfId="0" applyFont="1" applyBorder="1" applyAlignment="1" applyProtection="1">
      <alignment vertical="center"/>
      <protection hidden="1"/>
    </xf>
    <xf numFmtId="0" fontId="51" fillId="0" borderId="15" xfId="0" applyFont="1" applyBorder="1" applyAlignment="1" applyProtection="1">
      <alignment vertical="center"/>
      <protection hidden="1"/>
    </xf>
    <xf numFmtId="2" fontId="53" fillId="0" borderId="15" xfId="0" applyNumberFormat="1" applyFont="1" applyBorder="1" applyAlignment="1" applyProtection="1">
      <alignment vertical="center"/>
      <protection hidden="1"/>
    </xf>
    <xf numFmtId="0" fontId="54" fillId="0" borderId="0" xfId="0" applyFont="1" applyAlignment="1" applyProtection="1">
      <alignment vertical="center"/>
      <protection hidden="1"/>
    </xf>
    <xf numFmtId="49" fontId="55" fillId="0" borderId="20" xfId="0" applyNumberFormat="1" applyFont="1" applyBorder="1" applyAlignment="1" applyProtection="1">
      <alignment horizontal="right" vertical="top"/>
      <protection hidden="1"/>
    </xf>
    <xf numFmtId="49" fontId="55" fillId="0" borderId="14" xfId="0" applyNumberFormat="1" applyFont="1" applyBorder="1" applyAlignment="1" applyProtection="1">
      <alignment horizontal="right" vertical="center"/>
      <protection hidden="1"/>
    </xf>
    <xf numFmtId="0" fontId="52" fillId="0" borderId="0" xfId="0" applyFont="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Border="1" applyAlignment="1" applyProtection="1">
      <alignment vertical="center"/>
      <protection hidden="1"/>
    </xf>
    <xf numFmtId="0" fontId="27" fillId="0" borderId="15"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4" fontId="27" fillId="0" borderId="20" xfId="1" applyNumberFormat="1" applyFont="1" applyBorder="1" applyAlignment="1" applyProtection="1">
      <alignment horizontal="center" vertical="center"/>
      <protection hidden="1"/>
    </xf>
    <xf numFmtId="1" fontId="27" fillId="0" borderId="0" xfId="1" applyNumberFormat="1" applyFont="1" applyAlignment="1" applyProtection="1">
      <alignment horizontal="center" vertical="center"/>
      <protection hidden="1"/>
    </xf>
    <xf numFmtId="4" fontId="26" fillId="0" borderId="20" xfId="1"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165" fontId="29" fillId="0" borderId="20" xfId="1" applyNumberFormat="1" applyFont="1" applyBorder="1" applyAlignment="1" applyProtection="1">
      <alignment horizontal="center" vertical="center"/>
      <protection hidden="1"/>
    </xf>
    <xf numFmtId="171" fontId="33" fillId="0" borderId="20" xfId="7" applyNumberFormat="1" applyFont="1" applyBorder="1" applyAlignment="1" applyProtection="1">
      <alignment horizontal="center" vertical="center"/>
      <protection hidden="1"/>
    </xf>
    <xf numFmtId="0" fontId="29" fillId="0" borderId="20" xfId="0" applyFont="1" applyBorder="1" applyAlignment="1" applyProtection="1">
      <alignment vertical="center"/>
      <protection hidden="1"/>
    </xf>
    <xf numFmtId="0" fontId="22" fillId="0" borderId="17" xfId="0" applyFont="1" applyBorder="1" applyAlignment="1" applyProtection="1">
      <alignment vertical="center" wrapText="1"/>
      <protection hidden="1"/>
    </xf>
    <xf numFmtId="0" fontId="27" fillId="0" borderId="14" xfId="0" applyFont="1" applyBorder="1" applyAlignment="1" applyProtection="1">
      <alignment vertical="center"/>
      <protection hidden="1"/>
    </xf>
    <xf numFmtId="0" fontId="27" fillId="0" borderId="20" xfId="0" applyFont="1" applyBorder="1" applyAlignment="1" applyProtection="1">
      <alignment horizontal="center" vertical="center"/>
      <protection hidden="1"/>
    </xf>
    <xf numFmtId="171" fontId="35" fillId="0" borderId="20" xfId="7" applyNumberFormat="1" applyFont="1" applyBorder="1" applyAlignment="1" applyProtection="1">
      <alignment horizontal="center" vertical="center"/>
      <protection hidden="1"/>
    </xf>
    <xf numFmtId="170" fontId="56" fillId="30" borderId="0" xfId="0" applyNumberFormat="1" applyFont="1" applyFill="1" applyAlignment="1" applyProtection="1">
      <alignment vertical="center"/>
      <protection hidden="1"/>
    </xf>
    <xf numFmtId="0" fontId="57" fillId="30" borderId="0" xfId="0" applyFont="1" applyFill="1" applyAlignment="1">
      <alignment vertical="center"/>
    </xf>
    <xf numFmtId="0" fontId="57" fillId="30" borderId="0" xfId="0" applyFont="1" applyFill="1" applyAlignment="1" applyProtection="1">
      <alignment horizontal="right" vertical="center"/>
      <protection hidden="1"/>
    </xf>
    <xf numFmtId="170" fontId="57" fillId="30" borderId="0" xfId="0" applyNumberFormat="1" applyFont="1" applyFill="1" applyAlignment="1" applyProtection="1">
      <alignment vertical="center"/>
      <protection hidden="1"/>
    </xf>
    <xf numFmtId="0" fontId="57" fillId="30" borderId="0" xfId="0" applyFont="1" applyFill="1" applyAlignment="1" applyProtection="1">
      <alignment vertical="center"/>
      <protection hidden="1"/>
    </xf>
    <xf numFmtId="0" fontId="57" fillId="30" borderId="0" xfId="0" applyFont="1" applyFill="1" applyAlignment="1">
      <alignment horizontal="right" vertical="center"/>
    </xf>
    <xf numFmtId="170" fontId="58" fillId="30" borderId="0" xfId="0" applyNumberFormat="1" applyFont="1" applyFill="1" applyAlignment="1" applyProtection="1">
      <alignment vertical="center"/>
      <protection hidden="1"/>
    </xf>
    <xf numFmtId="0" fontId="58" fillId="30" borderId="0" xfId="0" applyFont="1" applyFill="1" applyAlignment="1" applyProtection="1">
      <alignment vertical="center" wrapText="1"/>
      <protection hidden="1"/>
    </xf>
    <xf numFmtId="0" fontId="58" fillId="30" borderId="0" xfId="0" applyFont="1" applyFill="1" applyAlignment="1" applyProtection="1">
      <alignment vertical="center"/>
      <protection hidden="1"/>
    </xf>
    <xf numFmtId="9" fontId="57" fillId="30" borderId="0" xfId="1" applyFont="1" applyFill="1" applyAlignment="1" applyProtection="1">
      <alignment horizontal="center" vertical="center"/>
      <protection hidden="1"/>
    </xf>
    <xf numFmtId="165" fontId="57" fillId="30" borderId="0" xfId="1" applyNumberFormat="1" applyFont="1" applyFill="1" applyAlignment="1" applyProtection="1">
      <alignment horizontal="center" vertical="center"/>
      <protection hidden="1"/>
    </xf>
    <xf numFmtId="0" fontId="58" fillId="30" borderId="0" xfId="0" quotePrefix="1" applyFont="1" applyFill="1" applyAlignment="1" applyProtection="1">
      <alignment vertical="center" textRotation="90" wrapText="1"/>
      <protection hidden="1"/>
    </xf>
    <xf numFmtId="171" fontId="59" fillId="30" borderId="0" xfId="7" applyNumberFormat="1" applyFont="1" applyFill="1" applyAlignment="1" applyProtection="1">
      <alignment horizontal="center" vertical="center"/>
      <protection hidden="1"/>
    </xf>
    <xf numFmtId="176" fontId="58" fillId="30" borderId="0" xfId="0" applyNumberFormat="1" applyFont="1" applyFill="1" applyAlignment="1" applyProtection="1">
      <alignment vertical="center"/>
      <protection hidden="1"/>
    </xf>
    <xf numFmtId="3" fontId="58" fillId="30" borderId="0" xfId="7" applyNumberFormat="1" applyFont="1" applyFill="1" applyAlignment="1" applyProtection="1">
      <alignment vertical="center"/>
      <protection hidden="1"/>
    </xf>
    <xf numFmtId="0" fontId="58" fillId="30" borderId="0" xfId="0" applyFont="1" applyFill="1" applyAlignment="1" applyProtection="1">
      <alignment horizontal="center" vertical="center"/>
      <protection hidden="1"/>
    </xf>
    <xf numFmtId="4" fontId="58" fillId="30" borderId="0" xfId="0" applyNumberFormat="1" applyFont="1" applyFill="1" applyAlignment="1" applyProtection="1">
      <alignment vertical="center"/>
      <protection hidden="1"/>
    </xf>
    <xf numFmtId="3" fontId="58" fillId="30" borderId="0" xfId="0" applyNumberFormat="1" applyFont="1" applyFill="1" applyAlignment="1" applyProtection="1">
      <alignment vertical="center"/>
      <protection hidden="1"/>
    </xf>
    <xf numFmtId="0" fontId="58" fillId="30" borderId="0" xfId="0" applyFont="1" applyFill="1" applyAlignment="1" applyProtection="1">
      <alignment horizontal="left" vertical="center" wrapText="1"/>
      <protection hidden="1"/>
    </xf>
    <xf numFmtId="0" fontId="58" fillId="30" borderId="0" xfId="0" applyFont="1" applyFill="1" applyAlignment="1" applyProtection="1">
      <alignment horizontal="center" vertical="center" wrapText="1"/>
      <protection hidden="1"/>
    </xf>
    <xf numFmtId="0" fontId="58" fillId="30" borderId="0" xfId="0" applyFont="1" applyFill="1" applyAlignment="1" applyProtection="1">
      <alignment horizontal="left" vertical="center"/>
      <protection hidden="1"/>
    </xf>
    <xf numFmtId="0" fontId="57" fillId="30" borderId="0" xfId="0" applyFont="1" applyFill="1" applyAlignment="1" applyProtection="1">
      <alignment horizontal="left" vertical="center"/>
      <protection hidden="1"/>
    </xf>
    <xf numFmtId="4" fontId="58" fillId="30" borderId="0" xfId="0" applyNumberFormat="1" applyFont="1" applyFill="1" applyAlignment="1" applyProtection="1">
      <alignment vertical="center" wrapText="1"/>
      <protection hidden="1"/>
    </xf>
    <xf numFmtId="4" fontId="58" fillId="30" borderId="0" xfId="0" applyNumberFormat="1" applyFont="1" applyFill="1" applyAlignment="1" applyProtection="1">
      <alignment horizontal="center" vertical="center" wrapText="1"/>
      <protection hidden="1"/>
    </xf>
    <xf numFmtId="1" fontId="58" fillId="30" borderId="0" xfId="1" applyNumberFormat="1" applyFont="1" applyFill="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Border="1" applyAlignment="1" applyProtection="1">
      <alignment horizontal="right" vertical="center"/>
      <protection hidden="1"/>
    </xf>
    <xf numFmtId="4" fontId="23" fillId="0" borderId="12" xfId="0" applyNumberFormat="1" applyFont="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Alignment="1" applyProtection="1">
      <alignment vertical="center"/>
      <protection hidden="1"/>
    </xf>
    <xf numFmtId="0" fontId="6" fillId="0" borderId="0" xfId="12"/>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Border="1" applyAlignment="1">
      <alignment horizontal="center" vertical="center"/>
    </xf>
    <xf numFmtId="171" fontId="35" fillId="0" borderId="22" xfId="7" applyNumberFormat="1" applyFont="1" applyBorder="1" applyAlignment="1" applyProtection="1">
      <alignment horizontal="center" vertical="center"/>
      <protection hidden="1"/>
    </xf>
    <xf numFmtId="171" fontId="33" fillId="0" borderId="22" xfId="7" applyNumberFormat="1" applyFont="1" applyBorder="1" applyAlignment="1" applyProtection="1">
      <alignment horizontal="center" vertical="center"/>
      <protection hidden="1"/>
    </xf>
    <xf numFmtId="1" fontId="27" fillId="0" borderId="17" xfId="1" applyNumberFormat="1" applyFont="1" applyBorder="1" applyAlignment="1" applyProtection="1">
      <alignment horizontal="right" vertical="center"/>
      <protection hidden="1"/>
    </xf>
    <xf numFmtId="0" fontId="22" fillId="0" borderId="19" xfId="0" applyFont="1" applyBorder="1" applyAlignment="1" applyProtection="1">
      <alignment horizontal="center" vertical="center"/>
      <protection hidden="1"/>
    </xf>
    <xf numFmtId="171" fontId="35" fillId="0" borderId="15" xfId="7" applyNumberFormat="1" applyFont="1" applyBorder="1" applyAlignment="1" applyProtection="1">
      <alignment horizontal="center" vertical="center"/>
      <protection hidden="1"/>
    </xf>
    <xf numFmtId="171" fontId="33" fillId="0" borderId="15" xfId="7" applyNumberFormat="1" applyFont="1" applyBorder="1" applyAlignment="1" applyProtection="1">
      <alignment horizontal="center" vertical="center"/>
      <protection hidden="1"/>
    </xf>
    <xf numFmtId="171" fontId="33" fillId="0" borderId="16" xfId="7" applyNumberFormat="1" applyFont="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4" fontId="27" fillId="0" borderId="18" xfId="0" applyNumberFormat="1" applyFont="1" applyBorder="1" applyAlignment="1" applyProtection="1">
      <alignment vertical="center"/>
      <protection hidden="1"/>
    </xf>
    <xf numFmtId="171" fontId="33" fillId="0" borderId="11" xfId="1" applyNumberFormat="1" applyFont="1" applyBorder="1" applyAlignment="1" applyProtection="1">
      <alignment horizontal="center" vertical="center"/>
      <protection hidden="1"/>
    </xf>
    <xf numFmtId="2" fontId="29" fillId="0" borderId="12" xfId="1" applyNumberFormat="1" applyFont="1" applyBorder="1" applyAlignment="1" applyProtection="1">
      <alignment horizontal="center" vertical="center"/>
      <protection hidden="1"/>
    </xf>
    <xf numFmtId="2" fontId="29" fillId="0" borderId="13" xfId="1" applyNumberFormat="1" applyFont="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Alignment="1" applyProtection="1">
      <alignment horizontal="left" vertical="center"/>
      <protection hidden="1"/>
    </xf>
    <xf numFmtId="0" fontId="0" fillId="12" borderId="0" xfId="0" applyFill="1" applyAlignment="1" applyProtection="1">
      <alignment horizontal="left"/>
      <protection locked="0" hidden="1"/>
    </xf>
    <xf numFmtId="0" fontId="2" fillId="3" borderId="0" xfId="0" applyFont="1" applyFill="1" applyProtection="1">
      <protection locked="0" hidden="1"/>
    </xf>
    <xf numFmtId="0" fontId="0" fillId="3" borderId="2" xfId="0" applyFill="1" applyBorder="1" applyProtection="1">
      <protection locked="0" hidden="1"/>
    </xf>
    <xf numFmtId="0" fontId="16" fillId="3" borderId="8" xfId="0" applyFont="1" applyFill="1" applyBorder="1" applyProtection="1">
      <protection locked="0" hidden="1"/>
    </xf>
    <xf numFmtId="0" fontId="16" fillId="3" borderId="3" xfId="0" applyFont="1" applyFill="1" applyBorder="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Border="1" applyAlignment="1" applyProtection="1">
      <alignment horizontal="left" vertical="center"/>
      <protection hidden="1"/>
    </xf>
    <xf numFmtId="176" fontId="27"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0" fontId="27" fillId="0" borderId="0" xfId="0" quotePrefix="1" applyFont="1" applyAlignment="1" applyProtection="1">
      <alignment vertical="center" textRotation="90" wrapText="1"/>
      <protection hidden="1"/>
    </xf>
    <xf numFmtId="0" fontId="26" fillId="0" borderId="0" xfId="0" applyFont="1" applyAlignment="1" applyProtection="1">
      <alignment vertical="center"/>
      <protection hidden="1"/>
    </xf>
    <xf numFmtId="171" fontId="35" fillId="0" borderId="21" xfId="7" applyNumberFormat="1" applyFont="1" applyBorder="1" applyAlignment="1" applyProtection="1">
      <alignment horizontal="center" vertical="center"/>
      <protection hidden="1"/>
    </xf>
    <xf numFmtId="3" fontId="27" fillId="0" borderId="0" xfId="7" applyNumberFormat="1" applyFont="1" applyAlignment="1" applyProtection="1">
      <alignment vertical="center"/>
      <protection hidden="1"/>
    </xf>
    <xf numFmtId="0" fontId="27" fillId="0" borderId="21" xfId="0" applyFont="1" applyBorder="1" applyAlignment="1" applyProtection="1">
      <alignment horizontal="center" vertical="center"/>
      <protection hidden="1"/>
    </xf>
    <xf numFmtId="171" fontId="35" fillId="0" borderId="0" xfId="7" applyNumberFormat="1" applyFont="1" applyAlignment="1" applyProtection="1">
      <alignment vertical="center" wrapText="1"/>
      <protection hidden="1"/>
    </xf>
    <xf numFmtId="171" fontId="35" fillId="0" borderId="19" xfId="7" applyNumberFormat="1" applyFont="1" applyBorder="1" applyAlignment="1" applyProtection="1">
      <alignment horizontal="center" vertical="center"/>
      <protection hidden="1"/>
    </xf>
    <xf numFmtId="0" fontId="29" fillId="30" borderId="0" xfId="0" applyFont="1" applyFill="1" applyAlignment="1" applyProtection="1">
      <alignment vertical="center" wrapText="1"/>
      <protection hidden="1"/>
    </xf>
    <xf numFmtId="0" fontId="27"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Border="1" applyAlignment="1" applyProtection="1">
      <alignment vertical="center" wrapText="1"/>
      <protection hidden="1"/>
    </xf>
    <xf numFmtId="0" fontId="32" fillId="0" borderId="20"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3" fontId="27" fillId="0" borderId="18" xfId="1" applyNumberFormat="1" applyFont="1" applyBorder="1" applyAlignment="1" applyProtection="1">
      <alignment vertical="center"/>
      <protection hidden="1"/>
    </xf>
    <xf numFmtId="3" fontId="27" fillId="0" borderId="21" xfId="0" applyNumberFormat="1" applyFont="1" applyBorder="1" applyAlignment="1" applyProtection="1">
      <alignment vertical="center"/>
      <protection hidden="1"/>
    </xf>
    <xf numFmtId="3" fontId="27" fillId="0" borderId="17" xfId="1" applyNumberFormat="1" applyFont="1" applyBorder="1" applyAlignment="1" applyProtection="1">
      <alignment vertical="center"/>
      <protection hidden="1"/>
    </xf>
    <xf numFmtId="3" fontId="27" fillId="0" borderId="21" xfId="0" applyNumberFormat="1" applyFont="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Border="1" applyAlignment="1" applyProtection="1">
      <alignment horizontal="center" vertical="center"/>
      <protection hidden="1"/>
    </xf>
    <xf numFmtId="3" fontId="27" fillId="0" borderId="19" xfId="0" applyNumberFormat="1" applyFont="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26" xfId="0" applyFont="1" applyBorder="1" applyAlignment="1" applyProtection="1">
      <alignment horizontal="left" vertical="center"/>
      <protection hidden="1"/>
    </xf>
    <xf numFmtId="0" fontId="27" fillId="0" borderId="27" xfId="0" applyFont="1" applyBorder="1" applyAlignment="1" applyProtection="1">
      <alignment horizontal="left" vertical="center"/>
      <protection hidden="1"/>
    </xf>
    <xf numFmtId="176" fontId="27" fillId="0" borderId="27" xfId="0" applyNumberFormat="1" applyFont="1" applyBorder="1" applyAlignment="1" applyProtection="1">
      <alignment vertical="center"/>
      <protection hidden="1"/>
    </xf>
    <xf numFmtId="176" fontId="27" fillId="0" borderId="28" xfId="0" applyNumberFormat="1" applyFont="1" applyBorder="1" applyAlignment="1" applyProtection="1">
      <alignment vertical="center"/>
      <protection hidden="1"/>
    </xf>
    <xf numFmtId="0" fontId="26" fillId="0" borderId="27" xfId="0" applyFont="1" applyBorder="1" applyAlignment="1" applyProtection="1">
      <alignment vertical="center"/>
      <protection hidden="1"/>
    </xf>
    <xf numFmtId="3" fontId="27" fillId="0" borderId="28" xfId="0" applyNumberFormat="1" applyFont="1" applyBorder="1" applyAlignment="1" applyProtection="1">
      <alignment vertical="center"/>
      <protection hidden="1"/>
    </xf>
    <xf numFmtId="3" fontId="27" fillId="10" borderId="0" xfId="0" applyNumberFormat="1" applyFont="1" applyFill="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21" xfId="0" applyFont="1" applyBorder="1" applyAlignment="1" applyProtection="1">
      <alignment horizontal="center" vertical="center"/>
      <protection hidden="1"/>
    </xf>
    <xf numFmtId="0" fontId="25" fillId="0" borderId="21" xfId="0" applyFont="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Border="1" applyAlignment="1" applyProtection="1">
      <alignment vertical="center"/>
      <protection hidden="1"/>
    </xf>
    <xf numFmtId="3" fontId="27" fillId="0" borderId="31" xfId="0" applyNumberFormat="1" applyFont="1" applyBorder="1" applyAlignment="1" applyProtection="1">
      <alignment vertical="center"/>
      <protection hidden="1"/>
    </xf>
    <xf numFmtId="0" fontId="32" fillId="0" borderId="35" xfId="0" applyFont="1" applyBorder="1" applyAlignment="1" applyProtection="1">
      <alignment vertical="center" wrapText="1"/>
      <protection hidden="1"/>
    </xf>
    <xf numFmtId="0" fontId="32" fillId="0" borderId="36" xfId="0" applyFont="1" applyBorder="1" applyAlignment="1" applyProtection="1">
      <alignment vertical="center" wrapText="1"/>
      <protection hidden="1"/>
    </xf>
    <xf numFmtId="0" fontId="27" fillId="0" borderId="12" xfId="0" applyFont="1" applyBorder="1" applyAlignment="1" applyProtection="1">
      <alignment horizontal="center" vertical="center" wrapText="1"/>
      <protection hidden="1"/>
    </xf>
    <xf numFmtId="178" fontId="27" fillId="0" borderId="10" xfId="0" applyNumberFormat="1" applyFont="1" applyBorder="1" applyAlignment="1" applyProtection="1">
      <alignment horizontal="center" vertical="center"/>
      <protection hidden="1"/>
    </xf>
    <xf numFmtId="178" fontId="27" fillId="0" borderId="30" xfId="0" applyNumberFormat="1" applyFont="1" applyBorder="1" applyAlignment="1" applyProtection="1">
      <alignment horizontal="center" vertical="center"/>
      <protection hidden="1"/>
    </xf>
    <xf numFmtId="178" fontId="27" fillId="0" borderId="31" xfId="0" applyNumberFormat="1" applyFont="1" applyBorder="1" applyAlignment="1" applyProtection="1">
      <alignment horizontal="center" vertical="center"/>
      <protection hidden="1"/>
    </xf>
    <xf numFmtId="178" fontId="27" fillId="0" borderId="25" xfId="0" applyNumberFormat="1" applyFont="1" applyBorder="1" applyAlignment="1" applyProtection="1">
      <alignment horizontal="center" vertical="center"/>
      <protection hidden="1"/>
    </xf>
    <xf numFmtId="178" fontId="27" fillId="0" borderId="33" xfId="0" applyNumberFormat="1" applyFont="1" applyBorder="1" applyAlignment="1" applyProtection="1">
      <alignment horizontal="center" vertical="center"/>
      <protection hidden="1"/>
    </xf>
    <xf numFmtId="178" fontId="27" fillId="0" borderId="35" xfId="0" applyNumberFormat="1" applyFont="1" applyBorder="1" applyAlignment="1" applyProtection="1">
      <alignment horizontal="center" vertical="center"/>
      <protection hidden="1"/>
    </xf>
    <xf numFmtId="178" fontId="27" fillId="0" borderId="36" xfId="0" applyNumberFormat="1" applyFont="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2" fontId="0" fillId="0" borderId="0" xfId="0" applyNumberFormat="1"/>
    <xf numFmtId="0" fontId="3" fillId="5" borderId="2" xfId="0" applyFont="1" applyFill="1" applyBorder="1" applyAlignment="1" applyProtection="1">
      <alignment horizontal="left"/>
      <protection hidden="1"/>
    </xf>
    <xf numFmtId="0" fontId="15" fillId="3" borderId="0" xfId="0" applyFont="1" applyFill="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Border="1" applyAlignment="1" applyProtection="1">
      <alignment horizontal="left" vertical="center" wrapText="1"/>
      <protection hidden="1"/>
    </xf>
    <xf numFmtId="0" fontId="49" fillId="0" borderId="15" xfId="0" applyFont="1" applyBorder="1" applyAlignment="1" applyProtection="1">
      <alignment horizontal="left" vertical="center" wrapText="1"/>
      <protection hidden="1"/>
    </xf>
    <xf numFmtId="0" fontId="49" fillId="0" borderId="16" xfId="0" applyFont="1" applyBorder="1" applyAlignment="1" applyProtection="1">
      <alignment horizontal="left" vertical="center" wrapText="1"/>
      <protection hidden="1"/>
    </xf>
    <xf numFmtId="0" fontId="49" fillId="0" borderId="20"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21" xfId="0" applyFont="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0" borderId="11"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2" fillId="14" borderId="0" xfId="0" applyFont="1" applyFill="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4" fillId="0" borderId="12" xfId="0" applyFont="1" applyBorder="1" applyAlignment="1" applyProtection="1">
      <alignment horizontal="center" vertical="center" wrapText="1"/>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Border="1" applyAlignment="1" applyProtection="1">
      <alignment horizontal="right" vertical="center"/>
      <protection hidden="1"/>
    </xf>
    <xf numFmtId="171" fontId="35" fillId="0" borderId="16" xfId="7" applyNumberFormat="1" applyFont="1" applyBorder="1" applyAlignment="1" applyProtection="1">
      <alignment horizontal="right" vertical="center"/>
      <protection hidden="1"/>
    </xf>
    <xf numFmtId="171" fontId="35" fillId="0" borderId="18" xfId="7" applyNumberFormat="1" applyFont="1" applyBorder="1" applyAlignment="1" applyProtection="1">
      <alignment horizontal="right" vertical="center"/>
      <protection hidden="1"/>
    </xf>
    <xf numFmtId="171" fontId="35" fillId="0" borderId="19" xfId="7" applyNumberFormat="1" applyFont="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18" borderId="11" xfId="0" applyFont="1" applyFill="1" applyBorder="1" applyAlignment="1">
      <alignment horizontal="center" vertical="center"/>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7" fillId="2" borderId="10" xfId="0" applyFont="1" applyFill="1" applyBorder="1" applyAlignment="1">
      <alignment horizontal="right" vertical="center"/>
    </xf>
    <xf numFmtId="0" fontId="24" fillId="2" borderId="10" xfId="0" quotePrefix="1" applyFont="1" applyFill="1" applyBorder="1" applyAlignment="1">
      <alignment horizontal="center" vertical="center" textRotation="90" wrapText="1"/>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2" fillId="0" borderId="11" xfId="0" applyFont="1" applyBorder="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24" fillId="0" borderId="15" xfId="0" applyFont="1" applyBorder="1" applyAlignment="1" applyProtection="1">
      <alignment horizontal="left" vertical="center"/>
      <protection hidden="1"/>
    </xf>
    <xf numFmtId="0" fontId="24" fillId="0" borderId="16" xfId="0" applyFont="1" applyBorder="1" applyAlignment="1" applyProtection="1">
      <alignment horizontal="left" vertical="center"/>
      <protection hidden="1"/>
    </xf>
    <xf numFmtId="0" fontId="24" fillId="0" borderId="0" xfId="0" applyFont="1" applyAlignment="1" applyProtection="1">
      <alignment horizontal="left" vertical="center"/>
      <protection hidden="1"/>
    </xf>
    <xf numFmtId="0" fontId="24" fillId="0" borderId="21" xfId="0" applyFont="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18" borderId="11" xfId="0"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3" fontId="22" fillId="0" borderId="11" xfId="1" applyNumberFormat="1" applyFont="1" applyBorder="1" applyAlignment="1" applyProtection="1">
      <alignment horizontal="center" vertical="center"/>
      <protection hidden="1"/>
    </xf>
    <xf numFmtId="3" fontId="22" fillId="0" borderId="12" xfId="1" applyNumberFormat="1" applyFont="1" applyBorder="1" applyAlignment="1" applyProtection="1">
      <alignment horizontal="center" vertical="center"/>
      <protection hidden="1"/>
    </xf>
    <xf numFmtId="3" fontId="22" fillId="0" borderId="13" xfId="1" applyNumberFormat="1" applyFont="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Border="1" applyAlignment="1" applyProtection="1">
      <alignment horizontal="right" vertical="center"/>
      <protection hidden="1"/>
    </xf>
    <xf numFmtId="0" fontId="37" fillId="0" borderId="15" xfId="0" applyFont="1" applyBorder="1" applyAlignment="1" applyProtection="1">
      <alignment horizontal="right" vertical="center"/>
      <protection hidden="1"/>
    </xf>
    <xf numFmtId="0" fontId="37" fillId="0" borderId="16" xfId="0" applyFont="1" applyBorder="1" applyAlignment="1" applyProtection="1">
      <alignment horizontal="right" vertical="center"/>
      <protection hidden="1"/>
    </xf>
    <xf numFmtId="0" fontId="37" fillId="0" borderId="20" xfId="0" applyFont="1" applyBorder="1" applyAlignment="1" applyProtection="1">
      <alignment horizontal="right" vertical="center"/>
      <protection hidden="1"/>
    </xf>
    <xf numFmtId="0" fontId="37" fillId="0" borderId="0" xfId="0" applyFont="1" applyAlignment="1" applyProtection="1">
      <alignment horizontal="right" vertical="center"/>
      <protection hidden="1"/>
    </xf>
    <xf numFmtId="0" fontId="37" fillId="0" borderId="21" xfId="0" applyFont="1" applyBorder="1" applyAlignment="1" applyProtection="1">
      <alignment horizontal="right" vertical="center"/>
      <protection hidden="1"/>
    </xf>
    <xf numFmtId="0" fontId="37" fillId="0" borderId="17" xfId="0" applyFont="1" applyBorder="1" applyAlignment="1" applyProtection="1">
      <alignment horizontal="right" vertical="center"/>
      <protection hidden="1"/>
    </xf>
    <xf numFmtId="0" fontId="37" fillId="0" borderId="18" xfId="0" applyFont="1" applyBorder="1" applyAlignment="1" applyProtection="1">
      <alignment horizontal="right" vertical="center"/>
      <protection hidden="1"/>
    </xf>
    <xf numFmtId="0" fontId="37" fillId="0" borderId="19" xfId="0" applyFont="1" applyBorder="1" applyAlignment="1" applyProtection="1">
      <alignment horizontal="right" vertical="center"/>
      <protection hidden="1"/>
    </xf>
    <xf numFmtId="170" fontId="22" fillId="0" borderId="11" xfId="0" applyNumberFormat="1" applyFont="1" applyBorder="1" applyAlignment="1" applyProtection="1">
      <alignment horizontal="right" vertical="center"/>
      <protection hidden="1"/>
    </xf>
    <xf numFmtId="170" fontId="22" fillId="0" borderId="12" xfId="0" applyNumberFormat="1" applyFont="1" applyBorder="1" applyAlignment="1" applyProtection="1">
      <alignment horizontal="right" vertical="center"/>
      <protection hidden="1"/>
    </xf>
    <xf numFmtId="170" fontId="22" fillId="0" borderId="13" xfId="0" applyNumberFormat="1" applyFont="1" applyBorder="1" applyAlignment="1" applyProtection="1">
      <alignment horizontal="right" vertical="center"/>
      <protection hidden="1"/>
    </xf>
    <xf numFmtId="0" fontId="41" fillId="0" borderId="14" xfId="0" applyFont="1" applyBorder="1" applyAlignment="1" applyProtection="1">
      <alignment horizontal="right" vertical="center" wrapText="1"/>
      <protection hidden="1"/>
    </xf>
    <xf numFmtId="0" fontId="41" fillId="0" borderId="15" xfId="0" applyFont="1" applyBorder="1" applyAlignment="1" applyProtection="1">
      <alignment horizontal="right" vertical="center" wrapText="1"/>
      <protection hidden="1"/>
    </xf>
    <xf numFmtId="0" fontId="41" fillId="0" borderId="16" xfId="0" applyFont="1" applyBorder="1" applyAlignment="1" applyProtection="1">
      <alignment horizontal="right" vertical="center" wrapText="1"/>
      <protection hidden="1"/>
    </xf>
    <xf numFmtId="0" fontId="41" fillId="0" borderId="20" xfId="0" applyFont="1" applyBorder="1" applyAlignment="1" applyProtection="1">
      <alignment horizontal="right" vertical="center" wrapText="1"/>
      <protection hidden="1"/>
    </xf>
    <xf numFmtId="0" fontId="41" fillId="0" borderId="0" xfId="0" applyFont="1" applyAlignment="1" applyProtection="1">
      <alignment horizontal="right" vertical="center" wrapText="1"/>
      <protection hidden="1"/>
    </xf>
    <xf numFmtId="0" fontId="41" fillId="0" borderId="21" xfId="0" applyFont="1" applyBorder="1" applyAlignment="1" applyProtection="1">
      <alignment horizontal="right" vertical="center" wrapText="1"/>
      <protection hidden="1"/>
    </xf>
    <xf numFmtId="0" fontId="44" fillId="0" borderId="20" xfId="0" applyFont="1" applyBorder="1" applyAlignment="1" applyProtection="1">
      <alignment horizontal="right" vertical="center" wrapText="1"/>
      <protection hidden="1"/>
    </xf>
    <xf numFmtId="0" fontId="44" fillId="0" borderId="0" xfId="0" applyFont="1" applyAlignment="1" applyProtection="1">
      <alignment horizontal="right" vertical="center" wrapText="1"/>
      <protection hidden="1"/>
    </xf>
    <xf numFmtId="0" fontId="44" fillId="0" borderId="21" xfId="0" applyFont="1" applyBorder="1" applyAlignment="1" applyProtection="1">
      <alignment horizontal="right" vertical="center" wrapText="1"/>
      <protection hidden="1"/>
    </xf>
    <xf numFmtId="0" fontId="44" fillId="0" borderId="17" xfId="0" applyFont="1" applyBorder="1" applyAlignment="1" applyProtection="1">
      <alignment horizontal="right" vertical="center" wrapText="1"/>
      <protection hidden="1"/>
    </xf>
    <xf numFmtId="0" fontId="44" fillId="0" borderId="18" xfId="0" applyFont="1" applyBorder="1" applyAlignment="1" applyProtection="1">
      <alignment horizontal="right" vertical="center" wrapText="1"/>
      <protection hidden="1"/>
    </xf>
    <xf numFmtId="0" fontId="44" fillId="0" borderId="19" xfId="0" applyFont="1" applyBorder="1" applyAlignment="1" applyProtection="1">
      <alignment horizontal="right" vertical="center" wrapText="1"/>
      <protection hidden="1"/>
    </xf>
  </cellXfs>
  <cellStyles count="13">
    <cellStyle name="Comma" xfId="7" builtinId="3"/>
    <cellStyle name="Comma 2" xfId="10" xr:uid="{00000000-0005-0000-0000-000001000000}"/>
    <cellStyle name="Comma 4" xfId="3" xr:uid="{00000000-0005-0000-0000-000002000000}"/>
    <cellStyle name="Normal" xfId="0" builtinId="0"/>
    <cellStyle name="Normal 2" xfId="8" xr:uid="{00000000-0005-0000-0000-000004000000}"/>
    <cellStyle name="Normal 3" xfId="11" xr:uid="{00000000-0005-0000-0000-000005000000}"/>
    <cellStyle name="Normal 3 2" xfId="12" xr:uid="{00000000-0005-0000-0000-000006000000}"/>
    <cellStyle name="Normal 4" xfId="2" xr:uid="{00000000-0005-0000-0000-000007000000}"/>
    <cellStyle name="Num" xfId="4" xr:uid="{00000000-0005-0000-0000-000008000000}"/>
    <cellStyle name="Num 1D" xfId="6" xr:uid="{00000000-0005-0000-0000-000009000000}"/>
    <cellStyle name="Percent" xfId="1" builtinId="5"/>
    <cellStyle name="Percent 2" xfId="9" xr:uid="{00000000-0005-0000-0000-00000B000000}"/>
    <cellStyle name="Total 2" xfId="5" xr:uid="{00000000-0005-0000-0000-00000C000000}"/>
  </cellStyles>
  <dxfs count="196">
    <dxf>
      <fill>
        <patternFill>
          <bgColor theme="0"/>
        </patternFill>
      </fill>
    </dxf>
    <dxf>
      <numFmt numFmtId="174" formatCode="#,##0.000,,"/>
    </dxf>
    <dxf>
      <fill>
        <patternFill>
          <bgColor theme="0"/>
        </patternFill>
      </fill>
    </dxf>
    <dxf>
      <numFmt numFmtId="179" formatCode="#,##0.000"/>
    </dxf>
    <dxf>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fill>
        <patternFill>
          <bgColor theme="0" tint="-4.9989318521683403E-2"/>
        </patternFill>
      </fill>
    </dxf>
    <dxf>
      <numFmt numFmtId="173" formatCode=";;;"/>
    </dxf>
    <dxf>
      <fill>
        <patternFill>
          <bgColor theme="0"/>
        </patternFill>
      </fill>
    </dxf>
    <dxf>
      <numFmt numFmtId="172" formatCode="#,##0.00,"/>
    </dxf>
    <dxf>
      <font>
        <b/>
        <i val="0"/>
        <color theme="1"/>
      </font>
      <fill>
        <patternFill>
          <bgColor theme="6" tint="0.39994506668294322"/>
        </patternFill>
      </fill>
    </dxf>
    <dxf>
      <font>
        <b/>
        <i val="0"/>
        <color theme="1"/>
      </font>
      <fill>
        <patternFill>
          <bgColor theme="6" tint="0.59996337778862885"/>
        </patternFill>
      </fill>
    </dxf>
    <dxf>
      <font>
        <b/>
        <i val="0"/>
        <color theme="1"/>
      </font>
      <fill>
        <patternFill>
          <bgColor theme="6" tint="0.79998168889431442"/>
        </patternFill>
      </fill>
    </dxf>
    <dxf>
      <font>
        <b/>
        <i val="0"/>
        <color theme="0"/>
      </font>
      <fill>
        <patternFill>
          <bgColor theme="1" tint="0.499984740745262"/>
        </patternFill>
      </fill>
    </dxf>
    <dxf>
      <font>
        <b/>
        <i val="0"/>
        <color theme="0"/>
      </font>
      <fill>
        <patternFill>
          <bgColor theme="1" tint="0.499984740745262"/>
        </patternFill>
      </fill>
    </dxf>
    <dxf>
      <fill>
        <patternFill>
          <bgColor theme="0" tint="-4.9989318521683403E-2"/>
        </patternFill>
      </fill>
    </dxf>
    <dxf>
      <font>
        <b/>
        <i val="0"/>
        <color theme="0"/>
      </font>
      <fill>
        <patternFill>
          <bgColor theme="1" tint="0.499984740745262"/>
        </patternFill>
      </fill>
    </dxf>
    <dxf>
      <fill>
        <patternFill>
          <bgColor theme="0"/>
        </patternFill>
      </fill>
    </dxf>
    <dxf>
      <numFmt numFmtId="173" formatCode=";;;"/>
    </dxf>
    <dxf>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numFmt numFmtId="173" formatCode=";;;"/>
      <fill>
        <patternFill>
          <bgColor theme="0"/>
        </patternFill>
      </fill>
    </dxf>
    <dxf>
      <font>
        <b/>
        <i val="0"/>
        <color theme="1"/>
      </font>
      <fill>
        <patternFill>
          <bgColor rgb="FFFFC000"/>
        </patternFill>
      </fill>
    </dxf>
    <dxf>
      <font>
        <b/>
        <i val="0"/>
        <color theme="1"/>
      </font>
      <fill>
        <patternFill>
          <bgColor rgb="FF92D050"/>
        </patternFill>
      </fill>
    </dxf>
    <dxf>
      <font>
        <b/>
        <i val="0"/>
        <color theme="1"/>
      </font>
      <fill>
        <patternFill>
          <bgColor rgb="FF92D050"/>
        </patternFill>
      </fill>
    </dxf>
    <dxf>
      <font>
        <b/>
        <i val="0"/>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ABBF-4C6D-AF49-975AEB757B46}"/>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0.59358255307875285</c:v>
                </c:pt>
              </c:numCache>
            </c:numRef>
          </c:val>
          <c:extLst>
            <c:ext xmlns:c16="http://schemas.microsoft.com/office/drawing/2014/chart" uri="{C3380CC4-5D6E-409C-BE32-E72D297353CC}">
              <c16:uniqueId val="{00000001-ABBF-4C6D-AF49-975AEB757B46}"/>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ABBF-4C6D-AF49-975AEB757B46}"/>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0.60291869436492851</c:v>
                </c:pt>
              </c:numCache>
            </c:numRef>
          </c:val>
          <c:extLst>
            <c:ext xmlns:c16="http://schemas.microsoft.com/office/drawing/2014/chart" uri="{C3380CC4-5D6E-409C-BE32-E72D297353CC}">
              <c16:uniqueId val="{00000003-ABBF-4C6D-AF49-975AEB757B46}"/>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BBF-4C6D-AF49-975AEB757B46}"/>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0.52853339283257394</c:v>
                </c:pt>
              </c:numCache>
            </c:numRef>
          </c:val>
          <c:extLst>
            <c:ext xmlns:c16="http://schemas.microsoft.com/office/drawing/2014/chart" uri="{C3380CC4-5D6E-409C-BE32-E72D297353CC}">
              <c16:uniqueId val="{00000005-ABBF-4C6D-AF49-975AEB757B46}"/>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0.56210855540780602</c:v>
                </c:pt>
              </c:numCache>
            </c:numRef>
          </c:val>
          <c:extLst>
            <c:ext xmlns:c16="http://schemas.microsoft.com/office/drawing/2014/chart" uri="{C3380CC4-5D6E-409C-BE32-E72D297353CC}">
              <c16:uniqueId val="{00000006-ABBF-4C6D-AF49-975AEB757B46}"/>
            </c:ext>
          </c:extLst>
        </c:ser>
        <c:dLbls>
          <c:dLblPos val="outEnd"/>
          <c:showLegendKey val="0"/>
          <c:showVal val="1"/>
          <c:showCatName val="0"/>
          <c:showSerName val="0"/>
          <c:showPercent val="0"/>
          <c:showBubbleSize val="0"/>
        </c:dLbls>
        <c:gapWidth val="0"/>
        <c:overlap val="10"/>
        <c:axId val="683551344"/>
        <c:axId val="683553304"/>
      </c:barChart>
      <c:catAx>
        <c:axId val="683551344"/>
        <c:scaling>
          <c:orientation val="minMax"/>
        </c:scaling>
        <c:delete val="1"/>
        <c:axPos val="b"/>
        <c:majorTickMark val="none"/>
        <c:minorTickMark val="none"/>
        <c:tickLblPos val="nextTo"/>
        <c:crossAx val="683553304"/>
        <c:crosses val="autoZero"/>
        <c:auto val="1"/>
        <c:lblAlgn val="ctr"/>
        <c:lblOffset val="100"/>
        <c:noMultiLvlLbl val="0"/>
      </c:catAx>
      <c:valAx>
        <c:axId val="68355330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134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7.8931782262643102</c:v>
                </c:pt>
                <c:pt idx="1">
                  <c:v>7.9772915963769329</c:v>
                </c:pt>
                <c:pt idx="2">
                  <c:v>8.4762259686949939</c:v>
                </c:pt>
                <c:pt idx="3">
                  <c:v>8.7971946207851488</c:v>
                </c:pt>
                <c:pt idx="4">
                  <c:v>9.2881268629584355</c:v>
                </c:pt>
                <c:pt idx="5">
                  <c:v>9.1828709974957086</c:v>
                </c:pt>
                <c:pt idx="6">
                  <c:v>9.2896631660385882</c:v>
                </c:pt>
                <c:pt idx="7">
                  <c:v>9.4414337277900877</c:v>
                </c:pt>
                <c:pt idx="8">
                  <c:v>9.7916860765601506</c:v>
                </c:pt>
                <c:pt idx="9">
                  <c:v>3.5005555948955389</c:v>
                </c:pt>
                <c:pt idx="10">
                  <c:v>7.8761037665424007</c:v>
                </c:pt>
                <c:pt idx="11">
                  <c:v>9.4720991330439297</c:v>
                </c:pt>
              </c:numCache>
            </c:numRef>
          </c:val>
          <c:extLst>
            <c:ext xmlns:c16="http://schemas.microsoft.com/office/drawing/2014/chart" uri="{C3380CC4-5D6E-409C-BE32-E72D297353CC}">
              <c16:uniqueId val="{00000001-8105-40DF-95E6-3AE710FF39EC}"/>
            </c:ext>
          </c:extLst>
        </c:ser>
        <c:dLbls>
          <c:showLegendKey val="0"/>
          <c:showVal val="0"/>
          <c:showCatName val="0"/>
          <c:showSerName val="0"/>
          <c:showPercent val="0"/>
          <c:showBubbleSize val="0"/>
        </c:dLbls>
        <c:gapWidth val="75"/>
        <c:axId val="683563496"/>
        <c:axId val="683567024"/>
      </c:barChart>
      <c:valAx>
        <c:axId val="683567024"/>
        <c:scaling>
          <c:orientation val="minMax"/>
          <c:min val="0"/>
        </c:scaling>
        <c:delete val="1"/>
        <c:axPos val="r"/>
        <c:numFmt formatCode="#,##0.00" sourceLinked="1"/>
        <c:majorTickMark val="out"/>
        <c:minorTickMark val="none"/>
        <c:tickLblPos val="nextTo"/>
        <c:crossAx val="683563496"/>
        <c:crosses val="max"/>
        <c:crossBetween val="between"/>
      </c:valAx>
      <c:catAx>
        <c:axId val="6835634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702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14.432313629887423</c:v>
                </c:pt>
                <c:pt idx="1">
                  <c:v>15.505076555463541</c:v>
                </c:pt>
                <c:pt idx="2">
                  <c:v>16.162963601235592</c:v>
                </c:pt>
                <c:pt idx="3">
                  <c:v>16.39642157358421</c:v>
                </c:pt>
                <c:pt idx="4">
                  <c:v>17.144143912264582</c:v>
                </c:pt>
                <c:pt idx="5">
                  <c:v>16.967380704366583</c:v>
                </c:pt>
                <c:pt idx="6">
                  <c:v>17.470371590891492</c:v>
                </c:pt>
                <c:pt idx="7">
                  <c:v>17.807710673973215</c:v>
                </c:pt>
                <c:pt idx="8">
                  <c:v>18.355096118236808</c:v>
                </c:pt>
                <c:pt idx="9">
                  <c:v>6.2657038549013215</c:v>
                </c:pt>
                <c:pt idx="10">
                  <c:v>13.841000316230623</c:v>
                </c:pt>
                <c:pt idx="11">
                  <c:v>17.957917562781528</c:v>
                </c:pt>
              </c:numCache>
            </c:numRef>
          </c:val>
          <c:extLst>
            <c:ext xmlns:c16="http://schemas.microsoft.com/office/drawing/2014/chart" uri="{C3380CC4-5D6E-409C-BE32-E72D297353CC}">
              <c16:uniqueId val="{00000001-26C2-4D2D-BDFD-9B17E72D0209}"/>
            </c:ext>
          </c:extLst>
        </c:ser>
        <c:dLbls>
          <c:showLegendKey val="0"/>
          <c:showVal val="0"/>
          <c:showCatName val="0"/>
          <c:showSerName val="0"/>
          <c:showPercent val="0"/>
          <c:showBubbleSize val="0"/>
        </c:dLbls>
        <c:gapWidth val="75"/>
        <c:axId val="683563888"/>
        <c:axId val="683563104"/>
      </c:barChart>
      <c:valAx>
        <c:axId val="683563104"/>
        <c:scaling>
          <c:orientation val="minMax"/>
          <c:min val="0"/>
        </c:scaling>
        <c:delete val="1"/>
        <c:axPos val="r"/>
        <c:numFmt formatCode="#,##0.00" sourceLinked="1"/>
        <c:majorTickMark val="out"/>
        <c:minorTickMark val="none"/>
        <c:tickLblPos val="nextTo"/>
        <c:crossAx val="683563888"/>
        <c:crosses val="max"/>
        <c:crossBetween val="between"/>
      </c:valAx>
      <c:catAx>
        <c:axId val="68356388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3104"/>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10880.908747985273</c:v>
                </c:pt>
                <c:pt idx="1">
                  <c:v>11627.973474680175</c:v>
                </c:pt>
                <c:pt idx="2">
                  <c:v>12056.007091561429</c:v>
                </c:pt>
                <c:pt idx="3">
                  <c:v>11312.626017935543</c:v>
                </c:pt>
                <c:pt idx="4">
                  <c:v>12060.438293956968</c:v>
                </c:pt>
                <c:pt idx="5">
                  <c:v>11942.450370033714</c:v>
                </c:pt>
                <c:pt idx="6">
                  <c:v>12027.563479744518</c:v>
                </c:pt>
                <c:pt idx="7">
                  <c:v>11988.549418908675</c:v>
                </c:pt>
                <c:pt idx="8">
                  <c:v>12617.223004585843</c:v>
                </c:pt>
                <c:pt idx="9">
                  <c:v>5492.5087654514364</c:v>
                </c:pt>
                <c:pt idx="10">
                  <c:v>8782.8931356346147</c:v>
                </c:pt>
                <c:pt idx="11">
                  <c:v>11871.357240241756</c:v>
                </c:pt>
              </c:numCache>
            </c:numRef>
          </c:val>
          <c:extLst>
            <c:ext xmlns:c16="http://schemas.microsoft.com/office/drawing/2014/chart" uri="{C3380CC4-5D6E-409C-BE32-E72D297353CC}">
              <c16:uniqueId val="{00000001-75E2-41F2-87AA-2A5A12285D70}"/>
            </c:ext>
          </c:extLst>
        </c:ser>
        <c:dLbls>
          <c:showLegendKey val="0"/>
          <c:showVal val="0"/>
          <c:showCatName val="0"/>
          <c:showSerName val="0"/>
          <c:showPercent val="0"/>
          <c:showBubbleSize val="0"/>
        </c:dLbls>
        <c:gapWidth val="75"/>
        <c:axId val="683564280"/>
        <c:axId val="683566240"/>
      </c:barChart>
      <c:valAx>
        <c:axId val="683566240"/>
        <c:scaling>
          <c:orientation val="minMax"/>
          <c:min val="0"/>
        </c:scaling>
        <c:delete val="1"/>
        <c:axPos val="r"/>
        <c:numFmt formatCode="#,##0" sourceLinked="1"/>
        <c:majorTickMark val="out"/>
        <c:minorTickMark val="none"/>
        <c:tickLblPos val="nextTo"/>
        <c:crossAx val="683564280"/>
        <c:crosses val="max"/>
        <c:crossBetween val="between"/>
      </c:valAx>
      <c:catAx>
        <c:axId val="68356428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83566240"/>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1-6031-46A0-9E10-C0871D5A94F1}"/>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3-6031-46A0-9E10-C0871D5A94F1}"/>
              </c:ext>
            </c:extLst>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5-6031-46A0-9E10-C0871D5A94F1}"/>
              </c:ext>
            </c:extLst>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7-6031-46A0-9E10-C0871D5A94F1}"/>
              </c:ext>
            </c:extLst>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9-6031-46A0-9E10-C0871D5A94F1}"/>
              </c:ext>
            </c:extLst>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B-6031-46A0-9E10-C0871D5A94F1}"/>
              </c:ext>
            </c:extLst>
          </c:dPt>
          <c:dLbls>
            <c:dLbl>
              <c:idx val="3"/>
              <c:delete val="1"/>
              <c:extLst>
                <c:ext xmlns:c15="http://schemas.microsoft.com/office/drawing/2012/chart" uri="{CE6537A1-D6FC-4f65-9D91-7224C49458BB}"/>
                <c:ext xmlns:c16="http://schemas.microsoft.com/office/drawing/2014/chart" uri="{C3380CC4-5D6E-409C-BE32-E72D297353CC}">
                  <c16:uniqueId val="{00000007-6031-46A0-9E10-C0871D5A9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'VISITOR TYPE DISTRIBUTION'!$G$12:$G$15</c:f>
              <c:numCache>
                <c:formatCode>;;;</c:formatCode>
                <c:ptCount val="4"/>
                <c:pt idx="0">
                  <c:v>221246.19363195536</c:v>
                </c:pt>
                <c:pt idx="1">
                  <c:v>482280.90887302771</c:v>
                </c:pt>
                <c:pt idx="2">
                  <c:v>16610.160440886444</c:v>
                </c:pt>
                <c:pt idx="3">
                  <c:v>377617.27870548255</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6031-46A0-9E10-C0871D5A94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F653-41A7-BF4C-1587550601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F653-41A7-BF4C-1587550601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F653-41A7-BF4C-1587550601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F653-41A7-BF4C-1587550601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F653-41A7-BF4C-1587550601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F653-41A7-BF4C-1587550601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F653-41A7-BF4C-1587550601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53-41A7-BF4C-1587550601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53-41A7-BF4C-1587550601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53-41A7-BF4C-1587550601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53-41A7-BF4C-1587550601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720137.26294586947</c:v>
                </c:pt>
                <c:pt idx="1">
                  <c:v>377617.27870548255</c:v>
                </c:pt>
              </c:numCache>
            </c:numRef>
          </c:val>
          <c:extLst>
            <c:ext xmlns:c16="http://schemas.microsoft.com/office/drawing/2014/chart" uri="{C3380CC4-5D6E-409C-BE32-E72D297353CC}">
              <c16:uniqueId val="{0000000C-F653-41A7-BF4C-1587550601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1-9D3B-4821-85ED-5587D7BE0659}"/>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3-9D3B-4821-85ED-5587D7BE0659}"/>
              </c:ext>
            </c:extLst>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5-9D3B-4821-85ED-5587D7BE0659}"/>
              </c:ext>
            </c:extLst>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7-9D3B-4821-85ED-5587D7BE0659}"/>
              </c:ext>
            </c:extLst>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9-9D3B-4821-85ED-5587D7BE0659}"/>
              </c:ext>
            </c:extLst>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B-9D3B-4821-85ED-5587D7BE0659}"/>
              </c:ext>
            </c:extLst>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3B-4821-85ED-5587D7BE0659}"/>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3B-4821-85ED-5587D7BE0659}"/>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3B-4821-85ED-5587D7BE0659}"/>
                </c:ext>
              </c:extLst>
            </c:dLbl>
            <c:dLbl>
              <c:idx val="3"/>
              <c:delete val="1"/>
              <c:extLst>
                <c:ext xmlns:c15="http://schemas.microsoft.com/office/drawing/2012/chart" uri="{CE6537A1-D6FC-4f65-9D91-7224C49458BB}"/>
                <c:ext xmlns:c16="http://schemas.microsoft.com/office/drawing/2014/chart" uri="{C3380CC4-5D6E-409C-BE32-E72D297353CC}">
                  <c16:uniqueId val="{00000007-9D3B-4821-85ED-5587D7BE06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1040.4567309806491</c:v>
                </c:pt>
                <c:pt idx="1">
                  <c:v>1355.0531698445911</c:v>
                </c:pt>
                <c:pt idx="2">
                  <c:v>177.34662654545451</c:v>
                </c:pt>
                <c:pt idx="3">
                  <c:v>6899.2426056732338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9D3B-4821-85ED-5587D7BE065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4214-4E7A-B6C1-D948995C6A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4214-4E7A-B6C1-D948995C6A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4214-4E7A-B6C1-D948995C6A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4214-4E7A-B6C1-D948995C6A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4214-4E7A-B6C1-D948995C6A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4214-4E7A-B6C1-D948995C6A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4214-4E7A-B6C1-D948995C6A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14-4E7A-B6C1-D948995C6A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14-4E7A-B6C1-D948995C6A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14-4E7A-B6C1-D948995C6A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14-4E7A-B6C1-D948995C6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2572.8565273706945</c:v>
                </c:pt>
                <c:pt idx="1">
                  <c:v>6899.2426056732338</c:v>
                </c:pt>
              </c:numCache>
            </c:numRef>
          </c:val>
          <c:extLst>
            <c:ext xmlns:c16="http://schemas.microsoft.com/office/drawing/2014/chart" uri="{C3380CC4-5D6E-409C-BE32-E72D297353CC}">
              <c16:uniqueId val="{0000000C-4214-4E7A-B6C1-D948995C6A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1-053D-4EDA-B783-48CBDEFEBF40}"/>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3-053D-4EDA-B783-48CBDEFEBF40}"/>
              </c:ext>
            </c:extLst>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5-053D-4EDA-B783-48CBDEFEBF40}"/>
              </c:ext>
            </c:extLst>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7-053D-4EDA-B783-48CBDEFEBF40}"/>
              </c:ext>
            </c:extLst>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9-053D-4EDA-B783-48CBDEFEBF40}"/>
              </c:ext>
            </c:extLst>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B-053D-4EDA-B783-48CBDEFEBF40}"/>
              </c:ext>
            </c:extLst>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3D-4EDA-B783-48CBDEFEBF40}"/>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3D-4EDA-B783-48CBDEFEBF40}"/>
                </c:ext>
              </c:extLst>
            </c:dLbl>
            <c:dLbl>
              <c:idx val="3"/>
              <c:delete val="1"/>
              <c:extLst>
                <c:ext xmlns:c15="http://schemas.microsoft.com/office/drawing/2012/chart" uri="{CE6537A1-D6FC-4f65-9D91-7224C49458BB}"/>
                <c:ext xmlns:c16="http://schemas.microsoft.com/office/drawing/2014/chart" uri="{C3380CC4-5D6E-409C-BE32-E72D297353CC}">
                  <c16:uniqueId val="{00000007-053D-4EDA-B783-48CBDEFEBF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DISTRIBUTION'!$H$12:$H$15</c:f>
              <c:numCache>
                <c:formatCode>;;;</c:formatCode>
                <c:ptCount val="4"/>
                <c:pt idx="0">
                  <c:v>1852.3347970701668</c:v>
                </c:pt>
                <c:pt idx="1">
                  <c:v>8784.129817561763</c:v>
                </c:pt>
                <c:pt idx="2">
                  <c:v>422.21034247636356</c:v>
                </c:pt>
                <c:pt idx="3">
                  <c:v>6899.2426056732338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053D-4EDA-B783-48CBDEFEBF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9EA4-4BA9-8E0A-806BF274FEC9}"/>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9EA4-4BA9-8E0A-806BF274FEC9}"/>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9EA4-4BA9-8E0A-806BF274FEC9}"/>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9EA4-4BA9-8E0A-806BF274FEC9}"/>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9EA4-4BA9-8E0A-806BF274FEC9}"/>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9EA4-4BA9-8E0A-806BF274FEC9}"/>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9EA4-4BA9-8E0A-806BF274FEC9}"/>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A4-4BA9-8E0A-806BF274FEC9}"/>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A4-4BA9-8E0A-806BF274FEC9}"/>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A4-4BA9-8E0A-806BF274FEC9}"/>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A4-4BA9-8E0A-806BF274FEC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11058.674957108293</c:v>
                </c:pt>
                <c:pt idx="1">
                  <c:v>6899.2426056732338</c:v>
                </c:pt>
              </c:numCache>
            </c:numRef>
          </c:val>
          <c:extLst>
            <c:ext xmlns:c16="http://schemas.microsoft.com/office/drawing/2014/chart" uri="{C3380CC4-5D6E-409C-BE32-E72D297353CC}">
              <c16:uniqueId val="{0000000C-9EA4-4BA9-8E0A-806BF274FE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2022</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9D-4959-994B-5C35D18F128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9D-4959-994B-5C35D18F1286}"/>
              </c:ext>
            </c:extLst>
          </c:dPt>
          <c:dPt>
            <c:idx val="2"/>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9D-4959-994B-5C35D18F1286}"/>
              </c:ext>
            </c:extLst>
          </c:dPt>
          <c:dPt>
            <c:idx val="3"/>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39D-4959-994B-5C35D18F1286}"/>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39D-4959-994B-5C35D18F1286}"/>
              </c:ext>
            </c:extLst>
          </c:dPt>
          <c:dPt>
            <c:idx val="5"/>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39D-4959-994B-5C35D18F1286}"/>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0.20427430069863528</c:v>
                </c:pt>
                <c:pt idx="1">
                  <c:v>0.18600286575345643</c:v>
                </c:pt>
                <c:pt idx="2">
                  <c:v>5.8853010838728355E-2</c:v>
                </c:pt>
                <c:pt idx="3">
                  <c:v>0.2854080437694731</c:v>
                </c:pt>
                <c:pt idx="4">
                  <c:v>8.7387818778463577E-2</c:v>
                </c:pt>
                <c:pt idx="5">
                  <c:v>0.27582850181259544</c:v>
                </c:pt>
              </c:numCache>
            </c:numRef>
          </c:val>
          <c:extLst>
            <c:ext xmlns:c16="http://schemas.microsoft.com/office/drawing/2014/chart" uri="{C3380CC4-5D6E-409C-BE32-E72D297353CC}">
              <c16:uniqueId val="{0000000C-539D-4959-994B-5C35D18F128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1-5BEE-4959-88B5-87E36C255F7F}"/>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3-5BEE-4959-88B5-87E36C255F7F}"/>
              </c:ext>
            </c:extLst>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5-5BEE-4959-88B5-87E36C255F7F}"/>
              </c:ext>
            </c:extLst>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7-5BEE-4959-88B5-87E36C255F7F}"/>
              </c:ext>
            </c:extLst>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9-5BEE-4959-88B5-87E36C255F7F}"/>
              </c:ext>
            </c:extLst>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B-5BEE-4959-88B5-87E36C255F7F}"/>
              </c:ext>
            </c:extLst>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EE-4959-88B5-87E36C255F7F}"/>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EE-4959-88B5-87E36C255F7F}"/>
                </c:ext>
              </c:extLst>
            </c:dLbl>
            <c:dLbl>
              <c:idx val="3"/>
              <c:delete val="1"/>
              <c:extLst>
                <c:ext xmlns:c15="http://schemas.microsoft.com/office/drawing/2012/chart" uri="{CE6537A1-D6FC-4f65-9D91-7224C49458BB}"/>
                <c:ext xmlns:c16="http://schemas.microsoft.com/office/drawing/2014/chart" uri="{C3380CC4-5D6E-409C-BE32-E72D297353CC}">
                  <c16:uniqueId val="{00000007-5BEE-4959-88B5-87E36C255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DISTRIBUTION'!$J$12:$J$15</c:f>
              <c:numCache>
                <c:formatCode>;;;</c:formatCode>
                <c:ptCount val="4"/>
                <c:pt idx="0">
                  <c:v>2432.3706615409842</c:v>
                </c:pt>
                <c:pt idx="1">
                  <c:v>4121.9593861525655</c:v>
                </c:pt>
                <c:pt idx="2">
                  <c:v>135.27975653358567</c:v>
                </c:pt>
                <c:pt idx="3">
                  <c:v>2830.963844487685</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5BEE-4959-88B5-87E36C255F7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D2CE-4997-9F6E-555479D893B8}"/>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D2CE-4997-9F6E-555479D893B8}"/>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D2CE-4997-9F6E-555479D893B8}"/>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D2CE-4997-9F6E-555479D893B8}"/>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D2CE-4997-9F6E-555479D893B8}"/>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D2CE-4997-9F6E-555479D893B8}"/>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D2CE-4997-9F6E-555479D893B8}"/>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E-4997-9F6E-555479D893B8}"/>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CE-4997-9F6E-555479D893B8}"/>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CE-4997-9F6E-555479D893B8}"/>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CE-4997-9F6E-555479D893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6689.6098042271351</c:v>
                </c:pt>
                <c:pt idx="1">
                  <c:v>2830.963844487685</c:v>
                </c:pt>
              </c:numCache>
            </c:numRef>
          </c:val>
          <c:extLst>
            <c:ext xmlns:c16="http://schemas.microsoft.com/office/drawing/2014/chart" uri="{C3380CC4-5D6E-409C-BE32-E72D297353CC}">
              <c16:uniqueId val="{0000000C-D2CE-4997-9F6E-555479D893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8726.5353086108134</c:v>
                </c:pt>
                <c:pt idx="1">
                  <c:v>11387.638305578246</c:v>
                </c:pt>
                <c:pt idx="2">
                  <c:v>13084.401021917214</c:v>
                </c:pt>
                <c:pt idx="3">
                  <c:v>15630.478592731588</c:v>
                </c:pt>
                <c:pt idx="4">
                  <c:v>26929.487224554596</c:v>
                </c:pt>
                <c:pt idx="5">
                  <c:v>21313.955310836369</c:v>
                </c:pt>
                <c:pt idx="6">
                  <c:v>28217.009027605251</c:v>
                </c:pt>
                <c:pt idx="7">
                  <c:v>28609.50027024766</c:v>
                </c:pt>
                <c:pt idx="8">
                  <c:v>23343.047357497155</c:v>
                </c:pt>
                <c:pt idx="9">
                  <c:v>13767.001867473706</c:v>
                </c:pt>
                <c:pt idx="10">
                  <c:v>17659.852449325546</c:v>
                </c:pt>
                <c:pt idx="11">
                  <c:v>12577.28689557721</c:v>
                </c:pt>
              </c:numCache>
            </c:numRef>
          </c:val>
          <c:extLst>
            <c:ext xmlns:c16="http://schemas.microsoft.com/office/drawing/2014/chart" uri="{C3380CC4-5D6E-409C-BE32-E72D297353CC}">
              <c16:uniqueId val="{00000000-39AD-4B0F-BE10-517BC0C188C4}"/>
            </c:ext>
          </c:extLst>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7050.9952067457089</c:v>
                </c:pt>
                <c:pt idx="1">
                  <c:v>8912.4663916397476</c:v>
                </c:pt>
                <c:pt idx="2">
                  <c:v>37524.413398215504</c:v>
                </c:pt>
                <c:pt idx="3">
                  <c:v>51453.758257636822</c:v>
                </c:pt>
                <c:pt idx="4">
                  <c:v>51707.231156702197</c:v>
                </c:pt>
                <c:pt idx="5">
                  <c:v>56575.984278693781</c:v>
                </c:pt>
                <c:pt idx="6">
                  <c:v>72719.512809342748</c:v>
                </c:pt>
                <c:pt idx="7">
                  <c:v>68636.910390776524</c:v>
                </c:pt>
                <c:pt idx="8">
                  <c:v>53449.093523132367</c:v>
                </c:pt>
                <c:pt idx="9">
                  <c:v>46764.990893679918</c:v>
                </c:pt>
                <c:pt idx="10">
                  <c:v>18421.603635388681</c:v>
                </c:pt>
                <c:pt idx="11">
                  <c:v>9063.9489310736935</c:v>
                </c:pt>
              </c:numCache>
            </c:numRef>
          </c:val>
          <c:extLst>
            <c:ext xmlns:c16="http://schemas.microsoft.com/office/drawing/2014/chart" uri="{C3380CC4-5D6E-409C-BE32-E72D297353CC}">
              <c16:uniqueId val="{00000001-39AD-4B0F-BE10-517BC0C188C4}"/>
            </c:ext>
          </c:extLst>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2310.0564997673737</c:v>
                </c:pt>
                <c:pt idx="1">
                  <c:v>776.1789839218377</c:v>
                </c:pt>
                <c:pt idx="2">
                  <c:v>882.95492879997403</c:v>
                </c:pt>
                <c:pt idx="3">
                  <c:v>2106.7715277878451</c:v>
                </c:pt>
                <c:pt idx="4">
                  <c:v>1355.2331465301932</c:v>
                </c:pt>
                <c:pt idx="5">
                  <c:v>1043.960733374872</c:v>
                </c:pt>
                <c:pt idx="6">
                  <c:v>1694.0414331627408</c:v>
                </c:pt>
                <c:pt idx="7">
                  <c:v>1793.3019942283008</c:v>
                </c:pt>
                <c:pt idx="8">
                  <c:v>923.69611192164916</c:v>
                </c:pt>
                <c:pt idx="9">
                  <c:v>922.79056977374046</c:v>
                </c:pt>
                <c:pt idx="10">
                  <c:v>719.04358649425785</c:v>
                </c:pt>
                <c:pt idx="11">
                  <c:v>2082.1309251236598</c:v>
                </c:pt>
              </c:numCache>
            </c:numRef>
          </c:val>
          <c:extLst>
            <c:ext xmlns:c16="http://schemas.microsoft.com/office/drawing/2014/chart" uri="{C3380CC4-5D6E-409C-BE32-E72D297353CC}">
              <c16:uniqueId val="{00000002-39AD-4B0F-BE10-517BC0C188C4}"/>
            </c:ext>
          </c:extLst>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3983.2564983318734</c:v>
                </c:pt>
                <c:pt idx="1">
                  <c:v>14177.209581954488</c:v>
                </c:pt>
                <c:pt idx="2">
                  <c:v>15132.841648300986</c:v>
                </c:pt>
                <c:pt idx="3">
                  <c:v>44163.851832050801</c:v>
                </c:pt>
                <c:pt idx="4">
                  <c:v>40370.866089508694</c:v>
                </c:pt>
                <c:pt idx="5">
                  <c:v>45245.342806636312</c:v>
                </c:pt>
                <c:pt idx="6">
                  <c:v>65497.871955233117</c:v>
                </c:pt>
                <c:pt idx="7">
                  <c:v>80364.317192398375</c:v>
                </c:pt>
                <c:pt idx="8">
                  <c:v>39158.75083177472</c:v>
                </c:pt>
                <c:pt idx="9">
                  <c:v>21057.967462234203</c:v>
                </c:pt>
                <c:pt idx="10">
                  <c:v>6437.8269877706807</c:v>
                </c:pt>
                <c:pt idx="11">
                  <c:v>2027.1758192882789</c:v>
                </c:pt>
              </c:numCache>
            </c:numRef>
          </c:val>
          <c:extLst>
            <c:ext xmlns:c16="http://schemas.microsoft.com/office/drawing/2014/chart" uri="{C3380CC4-5D6E-409C-BE32-E72D297353CC}">
              <c16:uniqueId val="{00000003-39AD-4B0F-BE10-517BC0C188C4}"/>
            </c:ext>
          </c:extLst>
        </c:ser>
        <c:dLbls>
          <c:showLegendKey val="0"/>
          <c:showVal val="0"/>
          <c:showCatName val="0"/>
          <c:showSerName val="0"/>
          <c:showPercent val="0"/>
          <c:showBubbleSize val="0"/>
        </c:dLbls>
        <c:axId val="683539192"/>
        <c:axId val="683545464"/>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22.07084351345577</c:v>
                </c:pt>
                <c:pt idx="1">
                  <c:v>35.25349326309432</c:v>
                </c:pt>
                <c:pt idx="2">
                  <c:v>66.624610997233688</c:v>
                </c:pt>
                <c:pt idx="3">
                  <c:v>113.35486021020706</c:v>
                </c:pt>
                <c:pt idx="4">
                  <c:v>120.36281761729568</c:v>
                </c:pt>
                <c:pt idx="5">
                  <c:v>124.17924312954133</c:v>
                </c:pt>
                <c:pt idx="6">
                  <c:v>168.12843522534385</c:v>
                </c:pt>
                <c:pt idx="7">
                  <c:v>179.40402984765086</c:v>
                </c:pt>
                <c:pt idx="8">
                  <c:v>116.87458782432589</c:v>
                </c:pt>
                <c:pt idx="9">
                  <c:v>82.512750793161572</c:v>
                </c:pt>
                <c:pt idx="10">
                  <c:v>43.238326658979169</c:v>
                </c:pt>
                <c:pt idx="11">
                  <c:v>25.750542571062844</c:v>
                </c:pt>
              </c:numCache>
            </c:numRef>
          </c:val>
          <c:smooth val="1"/>
          <c:extLst>
            <c:ext xmlns:c16="http://schemas.microsoft.com/office/drawing/2014/chart" uri="{C3380CC4-5D6E-409C-BE32-E72D297353CC}">
              <c16:uniqueId val="{00000004-39AD-4B0F-BE10-517BC0C188C4}"/>
            </c:ext>
          </c:extLst>
        </c:ser>
        <c:dLbls>
          <c:showLegendKey val="0"/>
          <c:showVal val="0"/>
          <c:showCatName val="0"/>
          <c:showSerName val="0"/>
          <c:showPercent val="0"/>
          <c:showBubbleSize val="0"/>
        </c:dLbls>
        <c:marker val="1"/>
        <c:smooth val="0"/>
        <c:axId val="683546640"/>
        <c:axId val="683542328"/>
      </c:lineChart>
      <c:catAx>
        <c:axId val="683539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5464"/>
        <c:crosses val="autoZero"/>
        <c:auto val="1"/>
        <c:lblAlgn val="ctr"/>
        <c:lblOffset val="100"/>
        <c:noMultiLvlLbl val="0"/>
      </c:catAx>
      <c:valAx>
        <c:axId val="683545464"/>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9192"/>
        <c:crosses val="autoZero"/>
        <c:crossBetween val="between"/>
      </c:valAx>
      <c:valAx>
        <c:axId val="683542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6640"/>
        <c:crosses val="max"/>
        <c:crossBetween val="between"/>
      </c:valAx>
      <c:catAx>
        <c:axId val="683546640"/>
        <c:scaling>
          <c:orientation val="minMax"/>
        </c:scaling>
        <c:delete val="1"/>
        <c:axPos val="b"/>
        <c:numFmt formatCode="General" sourceLinked="1"/>
        <c:majorTickMark val="out"/>
        <c:minorTickMark val="none"/>
        <c:tickLblPos val="nextTo"/>
        <c:crossAx val="683542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52.119305111933159</c:v>
                </c:pt>
                <c:pt idx="1">
                  <c:v>70.000796051456533</c:v>
                </c:pt>
                <c:pt idx="2">
                  <c:v>57.715186301471093</c:v>
                </c:pt>
                <c:pt idx="3">
                  <c:v>78.016084493293562</c:v>
                </c:pt>
                <c:pt idx="4">
                  <c:v>129.81291317870196</c:v>
                </c:pt>
                <c:pt idx="5">
                  <c:v>108.58890595230206</c:v>
                </c:pt>
                <c:pt idx="6">
                  <c:v>113.59338848204654</c:v>
                </c:pt>
                <c:pt idx="7">
                  <c:v>112.17719239525687</c:v>
                </c:pt>
                <c:pt idx="8">
                  <c:v>82.946295935303226</c:v>
                </c:pt>
                <c:pt idx="9">
                  <c:v>72.718224868091056</c:v>
                </c:pt>
                <c:pt idx="10">
                  <c:v>92.797901108728865</c:v>
                </c:pt>
                <c:pt idx="11">
                  <c:v>69.970537102064242</c:v>
                </c:pt>
              </c:numCache>
            </c:numRef>
          </c:val>
          <c:extLst>
            <c:ext xmlns:c16="http://schemas.microsoft.com/office/drawing/2014/chart" uri="{C3380CC4-5D6E-409C-BE32-E72D297353CC}">
              <c16:uniqueId val="{00000000-AF34-4F39-A9F5-408CB8DE8C08}"/>
            </c:ext>
          </c:extLst>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25.994701487586262</c:v>
                </c:pt>
                <c:pt idx="1">
                  <c:v>28.02699673137732</c:v>
                </c:pt>
                <c:pt idx="2">
                  <c:v>144.93364836460631</c:v>
                </c:pt>
                <c:pt idx="3">
                  <c:v>149.85502981834514</c:v>
                </c:pt>
                <c:pt idx="4">
                  <c:v>146.00891453868584</c:v>
                </c:pt>
                <c:pt idx="5">
                  <c:v>152.88973162137293</c:v>
                </c:pt>
                <c:pt idx="6">
                  <c:v>185.81729477117139</c:v>
                </c:pt>
                <c:pt idx="7">
                  <c:v>167.58894927780503</c:v>
                </c:pt>
                <c:pt idx="8">
                  <c:v>135.56970275758769</c:v>
                </c:pt>
                <c:pt idx="9">
                  <c:v>128.10935141803597</c:v>
                </c:pt>
                <c:pt idx="10">
                  <c:v>72.207509218856231</c:v>
                </c:pt>
                <c:pt idx="11">
                  <c:v>18.051339839161116</c:v>
                </c:pt>
              </c:numCache>
            </c:numRef>
          </c:val>
          <c:extLst>
            <c:ext xmlns:c16="http://schemas.microsoft.com/office/drawing/2014/chart" uri="{C3380CC4-5D6E-409C-BE32-E72D297353CC}">
              <c16:uniqueId val="{00000001-AF34-4F39-A9F5-408CB8DE8C08}"/>
            </c:ext>
          </c:extLst>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23.487545454545451</c:v>
                </c:pt>
                <c:pt idx="1">
                  <c:v>9.3950181818181822</c:v>
                </c:pt>
                <c:pt idx="2">
                  <c:v>10.438909090909091</c:v>
                </c:pt>
                <c:pt idx="3">
                  <c:v>19.833927272727269</c:v>
                </c:pt>
                <c:pt idx="4">
                  <c:v>15.658363636363635</c:v>
                </c:pt>
                <c:pt idx="5">
                  <c:v>12.636299454545455</c:v>
                </c:pt>
                <c:pt idx="6">
                  <c:v>17.2242</c:v>
                </c:pt>
                <c:pt idx="7">
                  <c:v>17.532147818181816</c:v>
                </c:pt>
                <c:pt idx="8">
                  <c:v>10.819929272727274</c:v>
                </c:pt>
                <c:pt idx="9">
                  <c:v>10.960854545454545</c:v>
                </c:pt>
                <c:pt idx="10">
                  <c:v>9.0035590909090892</c:v>
                </c:pt>
                <c:pt idx="11">
                  <c:v>20.355872727272725</c:v>
                </c:pt>
              </c:numCache>
            </c:numRef>
          </c:val>
          <c:extLst>
            <c:ext xmlns:c16="http://schemas.microsoft.com/office/drawing/2014/chart" uri="{C3380CC4-5D6E-409C-BE32-E72D297353CC}">
              <c16:uniqueId val="{00000002-AF34-4F39-A9F5-408CB8DE8C08}"/>
            </c:ext>
          </c:extLst>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72.775941389191104</c:v>
                </c:pt>
                <c:pt idx="1">
                  <c:v>259.02418637380833</c:v>
                </c:pt>
                <c:pt idx="2">
                  <c:v>276.48402690358336</c:v>
                </c:pt>
                <c:pt idx="3">
                  <c:v>806.89403100107938</c:v>
                </c:pt>
                <c:pt idx="4">
                  <c:v>737.59442445932575</c:v>
                </c:pt>
                <c:pt idx="5">
                  <c:v>826.65337208602716</c:v>
                </c:pt>
                <c:pt idx="6">
                  <c:v>1196.6764612138327</c:v>
                </c:pt>
                <c:pt idx="7">
                  <c:v>1468.293302283106</c:v>
                </c:pt>
                <c:pt idx="8">
                  <c:v>715.448517212144</c:v>
                </c:pt>
                <c:pt idx="9">
                  <c:v>384.73882022130454</c:v>
                </c:pt>
                <c:pt idx="10">
                  <c:v>117.62208126239432</c:v>
                </c:pt>
                <c:pt idx="11">
                  <c:v>37.037441267438439</c:v>
                </c:pt>
              </c:numCache>
            </c:numRef>
          </c:val>
          <c:extLst>
            <c:ext xmlns:c16="http://schemas.microsoft.com/office/drawing/2014/chart" uri="{C3380CC4-5D6E-409C-BE32-E72D297353CC}">
              <c16:uniqueId val="{00000003-AF34-4F39-A9F5-408CB8DE8C08}"/>
            </c:ext>
          </c:extLst>
        </c:ser>
        <c:dLbls>
          <c:showLegendKey val="0"/>
          <c:showVal val="0"/>
          <c:showCatName val="0"/>
          <c:showSerName val="0"/>
          <c:showPercent val="0"/>
          <c:showBubbleSize val="0"/>
        </c:dLbls>
        <c:axId val="683548600"/>
        <c:axId val="683536840"/>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174.37749344325599</c:v>
                </c:pt>
                <c:pt idx="1">
                  <c:v>366.44699733846039</c:v>
                </c:pt>
                <c:pt idx="2">
                  <c:v>489.57177066056983</c:v>
                </c:pt>
                <c:pt idx="3">
                  <c:v>1054.5990725854454</c:v>
                </c:pt>
                <c:pt idx="4">
                  <c:v>1029.0746158130771</c:v>
                </c:pt>
                <c:pt idx="5">
                  <c:v>1100.7683091142476</c:v>
                </c:pt>
                <c:pt idx="6">
                  <c:v>1513.3113444670507</c:v>
                </c:pt>
                <c:pt idx="7">
                  <c:v>1765.5915917743496</c:v>
                </c:pt>
                <c:pt idx="8">
                  <c:v>944.78444517776222</c:v>
                </c:pt>
                <c:pt idx="9">
                  <c:v>596.52725105288607</c:v>
                </c:pt>
                <c:pt idx="10">
                  <c:v>291.63105068088851</c:v>
                </c:pt>
                <c:pt idx="11">
                  <c:v>145.41519093593652</c:v>
                </c:pt>
              </c:numCache>
            </c:numRef>
          </c:val>
          <c:smooth val="1"/>
          <c:extLst>
            <c:ext xmlns:c16="http://schemas.microsoft.com/office/drawing/2014/chart" uri="{C3380CC4-5D6E-409C-BE32-E72D297353CC}">
              <c16:uniqueId val="{00000004-AF34-4F39-A9F5-408CB8DE8C08}"/>
            </c:ext>
          </c:extLst>
        </c:ser>
        <c:dLbls>
          <c:showLegendKey val="0"/>
          <c:showVal val="0"/>
          <c:showCatName val="0"/>
          <c:showSerName val="0"/>
          <c:showPercent val="0"/>
          <c:showBubbleSize val="0"/>
        </c:dLbls>
        <c:marker val="1"/>
        <c:smooth val="0"/>
        <c:axId val="683547816"/>
        <c:axId val="683544288"/>
      </c:lineChart>
      <c:catAx>
        <c:axId val="68354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6840"/>
        <c:crosses val="autoZero"/>
        <c:auto val="1"/>
        <c:lblAlgn val="ctr"/>
        <c:lblOffset val="100"/>
        <c:noMultiLvlLbl val="0"/>
      </c:catAx>
      <c:valAx>
        <c:axId val="68353684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600"/>
        <c:crosses val="autoZero"/>
        <c:crossBetween val="between"/>
      </c:valAx>
      <c:valAx>
        <c:axId val="68354428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7816"/>
        <c:crosses val="max"/>
        <c:crossBetween val="between"/>
      </c:valAx>
      <c:catAx>
        <c:axId val="683547816"/>
        <c:scaling>
          <c:orientation val="minMax"/>
        </c:scaling>
        <c:delete val="1"/>
        <c:axPos val="b"/>
        <c:numFmt formatCode="General" sourceLinked="1"/>
        <c:majorTickMark val="out"/>
        <c:minorTickMark val="none"/>
        <c:tickLblPos val="nextTo"/>
        <c:crossAx val="68354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1843.3920607901405</c:v>
                </c:pt>
                <c:pt idx="1">
                  <c:v>2067.6452485735817</c:v>
                </c:pt>
                <c:pt idx="2">
                  <c:v>2261.712411587413</c:v>
                </c:pt>
                <c:pt idx="3">
                  <c:v>2400.7890540291414</c:v>
                </c:pt>
                <c:pt idx="4">
                  <c:v>3023.3534584218487</c:v>
                </c:pt>
                <c:pt idx="5">
                  <c:v>2654.7800136719793</c:v>
                </c:pt>
                <c:pt idx="6">
                  <c:v>2883.3604441206535</c:v>
                </c:pt>
                <c:pt idx="7">
                  <c:v>2706.2976831747646</c:v>
                </c:pt>
                <c:pt idx="8">
                  <c:v>2524.2937668742661</c:v>
                </c:pt>
                <c:pt idx="9">
                  <c:v>2314.8542672143258</c:v>
                </c:pt>
                <c:pt idx="10">
                  <c:v>2407.6486041486824</c:v>
                </c:pt>
                <c:pt idx="11">
                  <c:v>2100.320925885012</c:v>
                </c:pt>
              </c:numCache>
            </c:numRef>
          </c:val>
          <c:extLst>
            <c:ext xmlns:c16="http://schemas.microsoft.com/office/drawing/2014/chart" uri="{C3380CC4-5D6E-409C-BE32-E72D297353CC}">
              <c16:uniqueId val="{00000000-7C0C-4408-BBC0-D926C947659E}"/>
            </c:ext>
          </c:extLst>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1508.6608689872921</c:v>
                </c:pt>
                <c:pt idx="1">
                  <c:v>1629.0530581227717</c:v>
                </c:pt>
                <c:pt idx="2">
                  <c:v>4142.8873481769242</c:v>
                </c:pt>
                <c:pt idx="3">
                  <c:v>5140.0295659593685</c:v>
                </c:pt>
                <c:pt idx="4">
                  <c:v>5221.9940680089248</c:v>
                </c:pt>
                <c:pt idx="5">
                  <c:v>5559.9525843000883</c:v>
                </c:pt>
                <c:pt idx="6">
                  <c:v>6429.9750642653662</c:v>
                </c:pt>
                <c:pt idx="7">
                  <c:v>6137.8835359732666</c:v>
                </c:pt>
                <c:pt idx="8">
                  <c:v>4903.1291048107114</c:v>
                </c:pt>
                <c:pt idx="9">
                  <c:v>4792.1974955524856</c:v>
                </c:pt>
                <c:pt idx="10">
                  <c:v>2456.8925196647237</c:v>
                </c:pt>
                <c:pt idx="11">
                  <c:v>1540.8574200088622</c:v>
                </c:pt>
              </c:numCache>
            </c:numRef>
          </c:val>
          <c:extLst>
            <c:ext xmlns:c16="http://schemas.microsoft.com/office/drawing/2014/chart" uri="{C3380CC4-5D6E-409C-BE32-E72D297353CC}">
              <c16:uniqueId val="{00000001-7C0C-4408-BBC0-D926C947659E}"/>
            </c:ext>
          </c:extLst>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230.45508047318214</c:v>
                </c:pt>
                <c:pt idx="1">
                  <c:v>77.432907038989214</c:v>
                </c:pt>
                <c:pt idx="2">
                  <c:v>88.085052980860738</c:v>
                </c:pt>
                <c:pt idx="3">
                  <c:v>204.55849028366939</c:v>
                </c:pt>
                <c:pt idx="4">
                  <c:v>131.5873329310154</c:v>
                </c:pt>
                <c:pt idx="5">
                  <c:v>101.36411505372357</c:v>
                </c:pt>
                <c:pt idx="6">
                  <c:v>164.48416616376926</c:v>
                </c:pt>
                <c:pt idx="7">
                  <c:v>174.12194142723183</c:v>
                </c:pt>
                <c:pt idx="8">
                  <c:v>89.686935504577121</c:v>
                </c:pt>
                <c:pt idx="9">
                  <c:v>89.599011241209567</c:v>
                </c:pt>
                <c:pt idx="10">
                  <c:v>69.81605198351258</c:v>
                </c:pt>
                <c:pt idx="11">
                  <c:v>202.16599332128729</c:v>
                </c:pt>
              </c:numCache>
            </c:numRef>
          </c:val>
          <c:extLst>
            <c:ext xmlns:c16="http://schemas.microsoft.com/office/drawing/2014/chart" uri="{C3380CC4-5D6E-409C-BE32-E72D297353CC}">
              <c16:uniqueId val="{00000002-7C0C-4408-BBC0-D926C947659E}"/>
            </c:ext>
          </c:extLst>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364.41431437026512</c:v>
                </c:pt>
                <c:pt idx="1">
                  <c:v>1297.0237070234111</c:v>
                </c:pt>
                <c:pt idx="2">
                  <c:v>1384.4511685473528</c:v>
                </c:pt>
                <c:pt idx="3">
                  <c:v>3966.6045047105104</c:v>
                </c:pt>
                <c:pt idx="4">
                  <c:v>3625.935072390942</c:v>
                </c:pt>
                <c:pt idx="5">
                  <c:v>4063.7393059934316</c:v>
                </c:pt>
                <c:pt idx="6">
                  <c:v>5882.7331215261793</c:v>
                </c:pt>
                <c:pt idx="7">
                  <c:v>7217.9723771740828</c:v>
                </c:pt>
                <c:pt idx="8">
                  <c:v>3517.0681678500969</c:v>
                </c:pt>
                <c:pt idx="9">
                  <c:v>1891.3347711017982</c:v>
                </c:pt>
                <c:pt idx="10">
                  <c:v>578.21753472385637</c:v>
                </c:pt>
                <c:pt idx="11">
                  <c:v>182.07208844029202</c:v>
                </c:pt>
              </c:numCache>
            </c:numRef>
          </c:val>
          <c:extLst>
            <c:ext xmlns:c16="http://schemas.microsoft.com/office/drawing/2014/chart" uri="{C3380CC4-5D6E-409C-BE32-E72D297353CC}">
              <c16:uniqueId val="{00000003-7C0C-4408-BBC0-D926C947659E}"/>
            </c:ext>
          </c:extLst>
        </c:ser>
        <c:dLbls>
          <c:showLegendKey val="0"/>
          <c:showVal val="0"/>
          <c:showCatName val="0"/>
          <c:showSerName val="0"/>
          <c:showPercent val="0"/>
          <c:showBubbleSize val="0"/>
        </c:dLbls>
        <c:axId val="683548208"/>
        <c:axId val="683544680"/>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4531.2165052455894</c:v>
                </c:pt>
                <c:pt idx="1">
                  <c:v>6005.7276416000323</c:v>
                </c:pt>
                <c:pt idx="2">
                  <c:v>9637.4493920442783</c:v>
                </c:pt>
                <c:pt idx="3">
                  <c:v>14635.068578189765</c:v>
                </c:pt>
                <c:pt idx="4">
                  <c:v>15059.923723876869</c:v>
                </c:pt>
                <c:pt idx="5">
                  <c:v>15564.773104806813</c:v>
                </c:pt>
                <c:pt idx="6">
                  <c:v>19673.222800903884</c:v>
                </c:pt>
                <c:pt idx="7">
                  <c:v>20852.137927565578</c:v>
                </c:pt>
                <c:pt idx="8">
                  <c:v>14027.21876718515</c:v>
                </c:pt>
                <c:pt idx="9">
                  <c:v>11210.458592659881</c:v>
                </c:pt>
                <c:pt idx="10">
                  <c:v>6587.652135389827</c:v>
                </c:pt>
                <c:pt idx="11">
                  <c:v>4671.4377134333927</c:v>
                </c:pt>
              </c:numCache>
            </c:numRef>
          </c:val>
          <c:smooth val="1"/>
          <c:extLst>
            <c:ext xmlns:c16="http://schemas.microsoft.com/office/drawing/2014/chart" uri="{C3380CC4-5D6E-409C-BE32-E72D297353CC}">
              <c16:uniqueId val="{00000004-7C0C-4408-BBC0-D926C947659E}"/>
            </c:ext>
          </c:extLst>
        </c:ser>
        <c:dLbls>
          <c:showLegendKey val="0"/>
          <c:showVal val="0"/>
          <c:showCatName val="0"/>
          <c:showSerName val="0"/>
          <c:showPercent val="0"/>
          <c:showBubbleSize val="0"/>
        </c:dLbls>
        <c:marker val="1"/>
        <c:smooth val="0"/>
        <c:axId val="683537624"/>
        <c:axId val="683545856"/>
      </c:lineChart>
      <c:catAx>
        <c:axId val="68354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4680"/>
        <c:crosses val="autoZero"/>
        <c:auto val="1"/>
        <c:lblAlgn val="ctr"/>
        <c:lblOffset val="100"/>
        <c:noMultiLvlLbl val="0"/>
      </c:catAx>
      <c:valAx>
        <c:axId val="68354468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208"/>
        <c:crosses val="autoZero"/>
        <c:crossBetween val="between"/>
      </c:valAx>
      <c:valAx>
        <c:axId val="683545856"/>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37624"/>
        <c:crosses val="max"/>
        <c:crossBetween val="between"/>
      </c:valAx>
      <c:catAx>
        <c:axId val="683537624"/>
        <c:scaling>
          <c:orientation val="minMax"/>
        </c:scaling>
        <c:delete val="1"/>
        <c:axPos val="b"/>
        <c:numFmt formatCode="General" sourceLinked="1"/>
        <c:majorTickMark val="out"/>
        <c:minorTickMark val="none"/>
        <c:tickLblPos val="nextTo"/>
        <c:crossAx val="683545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79.464068818813601</c:v>
                </c:pt>
                <c:pt idx="1">
                  <c:v>103.88030701629387</c:v>
                </c:pt>
                <c:pt idx="2">
                  <c:v>119.22833192259154</c:v>
                </c:pt>
                <c:pt idx="3">
                  <c:v>142.2459378500244</c:v>
                </c:pt>
                <c:pt idx="4">
                  <c:v>244.87861423556387</c:v>
                </c:pt>
                <c:pt idx="5">
                  <c:v>193.62842624018845</c:v>
                </c:pt>
                <c:pt idx="6">
                  <c:v>202.09923627030872</c:v>
                </c:pt>
                <c:pt idx="7">
                  <c:v>201.71895164113042</c:v>
                </c:pt>
                <c:pt idx="8" formatCode="0.0">
                  <c:v>164.7370737567137</c:v>
                </c:pt>
                <c:pt idx="9" formatCode="0.0">
                  <c:v>125.27745196619583</c:v>
                </c:pt>
                <c:pt idx="10" formatCode="0.0">
                  <c:v>160.67604521436874</c:v>
                </c:pt>
                <c:pt idx="11" formatCode="0.0">
                  <c:v>114.50035213797347</c:v>
                </c:pt>
              </c:numCache>
            </c:numRef>
          </c:val>
          <c:extLst>
            <c:ext xmlns:c16="http://schemas.microsoft.com/office/drawing/2014/chart" uri="{C3380CC4-5D6E-409C-BE32-E72D297353CC}">
              <c16:uniqueId val="{00000000-26A7-4677-BCB1-892DD739F69F}"/>
            </c:ext>
          </c:extLst>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88.381985057793287</c:v>
                </c:pt>
                <c:pt idx="1">
                  <c:v>112.10798692550928</c:v>
                </c:pt>
                <c:pt idx="2">
                  <c:v>695.68151215011028</c:v>
                </c:pt>
                <c:pt idx="3">
                  <c:v>959.07219083740904</c:v>
                </c:pt>
                <c:pt idx="4">
                  <c:v>1007.4615103169324</c:v>
                </c:pt>
                <c:pt idx="5">
                  <c:v>1070.2281213496108</c:v>
                </c:pt>
                <c:pt idx="6">
                  <c:v>1319.3027928753168</c:v>
                </c:pt>
                <c:pt idx="7">
                  <c:v>1273.676014511318</c:v>
                </c:pt>
                <c:pt idx="8" formatCode="0.0">
                  <c:v>935.43094902735515</c:v>
                </c:pt>
                <c:pt idx="9" formatCode="0.0">
                  <c:v>896.76545992625188</c:v>
                </c:pt>
                <c:pt idx="10" formatCode="0.0">
                  <c:v>324.93379148485303</c:v>
                </c:pt>
                <c:pt idx="11" formatCode="0.0">
                  <c:v>101.08750309930225</c:v>
                </c:pt>
              </c:numCache>
            </c:numRef>
          </c:val>
          <c:extLst>
            <c:ext xmlns:c16="http://schemas.microsoft.com/office/drawing/2014/chart" uri="{C3380CC4-5D6E-409C-BE32-E72D297353CC}">
              <c16:uniqueId val="{00000001-26A7-4677-BCB1-892DD739F69F}"/>
            </c:ext>
          </c:extLst>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58.718863636363629</c:v>
                </c:pt>
                <c:pt idx="1">
                  <c:v>19.729538181818182</c:v>
                </c:pt>
                <c:pt idx="2">
                  <c:v>22.443654545454546</c:v>
                </c:pt>
                <c:pt idx="3">
                  <c:v>53.55160363636363</c:v>
                </c:pt>
                <c:pt idx="4">
                  <c:v>34.448399999999999</c:v>
                </c:pt>
                <c:pt idx="5">
                  <c:v>26.536228854545456</c:v>
                </c:pt>
                <c:pt idx="6">
                  <c:v>43.060499999999998</c:v>
                </c:pt>
                <c:pt idx="7">
                  <c:v>45.583584327272725</c:v>
                </c:pt>
                <c:pt idx="8" formatCode="0.0">
                  <c:v>23.479246521818183</c:v>
                </c:pt>
                <c:pt idx="9" formatCode="0.0">
                  <c:v>23.456228727272727</c:v>
                </c:pt>
                <c:pt idx="10" formatCode="0.0">
                  <c:v>18.277224954545449</c:v>
                </c:pt>
                <c:pt idx="11" formatCode="0.0">
                  <c:v>52.92526909090909</c:v>
                </c:pt>
              </c:numCache>
            </c:numRef>
          </c:val>
          <c:extLst>
            <c:ext xmlns:c16="http://schemas.microsoft.com/office/drawing/2014/chart" uri="{C3380CC4-5D6E-409C-BE32-E72D297353CC}">
              <c16:uniqueId val="{00000002-26A7-4677-BCB1-892DD739F69F}"/>
            </c:ext>
          </c:extLst>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72.775941389191104</c:v>
                </c:pt>
                <c:pt idx="1">
                  <c:v>259.02418637380833</c:v>
                </c:pt>
                <c:pt idx="2">
                  <c:v>276.48402690358336</c:v>
                </c:pt>
                <c:pt idx="3">
                  <c:v>806.89403100107938</c:v>
                </c:pt>
                <c:pt idx="4">
                  <c:v>737.59442445932575</c:v>
                </c:pt>
                <c:pt idx="5">
                  <c:v>826.65337208602716</c:v>
                </c:pt>
                <c:pt idx="6">
                  <c:v>1196.6764612138327</c:v>
                </c:pt>
                <c:pt idx="7">
                  <c:v>1468.293302283106</c:v>
                </c:pt>
                <c:pt idx="8" formatCode="0.0">
                  <c:v>715.448517212144</c:v>
                </c:pt>
                <c:pt idx="9" formatCode="0.0">
                  <c:v>384.73882022130454</c:v>
                </c:pt>
                <c:pt idx="10" formatCode="0.0">
                  <c:v>117.62208126239432</c:v>
                </c:pt>
                <c:pt idx="11" formatCode="0.0">
                  <c:v>37.037441267438439</c:v>
                </c:pt>
              </c:numCache>
            </c:numRef>
          </c:val>
          <c:extLst>
            <c:ext xmlns:c16="http://schemas.microsoft.com/office/drawing/2014/chart" uri="{C3380CC4-5D6E-409C-BE32-E72D297353CC}">
              <c16:uniqueId val="{00000003-26A7-4677-BCB1-892DD739F69F}"/>
            </c:ext>
          </c:extLst>
        </c:ser>
        <c:dLbls>
          <c:showLegendKey val="0"/>
          <c:showVal val="0"/>
          <c:showCatName val="0"/>
          <c:showSerName val="0"/>
          <c:showPercent val="0"/>
          <c:showBubbleSize val="0"/>
        </c:dLbls>
        <c:axId val="683538016"/>
        <c:axId val="68353840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299.34085890216164</c:v>
                </c:pt>
                <c:pt idx="1">
                  <c:v>494.74201849742963</c:v>
                </c:pt>
                <c:pt idx="2">
                  <c:v>1113.8375255217397</c:v>
                </c:pt>
                <c:pt idx="3">
                  <c:v>1961.7637633248764</c:v>
                </c:pt>
                <c:pt idx="4">
                  <c:v>2024.3829490118219</c:v>
                </c:pt>
                <c:pt idx="5">
                  <c:v>2117.0461485303717</c:v>
                </c:pt>
                <c:pt idx="6">
                  <c:v>2761.1389903594581</c:v>
                </c:pt>
                <c:pt idx="7">
                  <c:v>2989.2718527628272</c:v>
                </c:pt>
                <c:pt idx="8">
                  <c:v>1839.095786518031</c:v>
                </c:pt>
                <c:pt idx="9">
                  <c:v>1430.2379608410251</c:v>
                </c:pt>
                <c:pt idx="10">
                  <c:v>621.50914291616152</c:v>
                </c:pt>
                <c:pt idx="11">
                  <c:v>305.55056559562325</c:v>
                </c:pt>
              </c:numCache>
            </c:numRef>
          </c:val>
          <c:smooth val="1"/>
          <c:extLst>
            <c:ext xmlns:c16="http://schemas.microsoft.com/office/drawing/2014/chart" uri="{C3380CC4-5D6E-409C-BE32-E72D297353CC}">
              <c16:uniqueId val="{00000004-26A7-4677-BCB1-892DD739F69F}"/>
            </c:ext>
          </c:extLst>
        </c:ser>
        <c:dLbls>
          <c:showLegendKey val="0"/>
          <c:showVal val="0"/>
          <c:showCatName val="0"/>
          <c:showSerName val="0"/>
          <c:showPercent val="0"/>
          <c:showBubbleSize val="0"/>
        </c:dLbls>
        <c:marker val="1"/>
        <c:smooth val="0"/>
        <c:axId val="683541152"/>
        <c:axId val="683545072"/>
      </c:lineChart>
      <c:catAx>
        <c:axId val="683538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408"/>
        <c:crosses val="autoZero"/>
        <c:auto val="1"/>
        <c:lblAlgn val="ctr"/>
        <c:lblOffset val="100"/>
        <c:noMultiLvlLbl val="0"/>
      </c:catAx>
      <c:valAx>
        <c:axId val="68353840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016"/>
        <c:crosses val="autoZero"/>
        <c:crossBetween val="between"/>
      </c:valAx>
      <c:valAx>
        <c:axId val="683545072"/>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1152"/>
        <c:crosses val="max"/>
        <c:crossBetween val="between"/>
      </c:valAx>
      <c:catAx>
        <c:axId val="683541152"/>
        <c:scaling>
          <c:orientation val="minMax"/>
        </c:scaling>
        <c:delete val="1"/>
        <c:axPos val="b"/>
        <c:numFmt formatCode="General" sourceLinked="1"/>
        <c:majorTickMark val="out"/>
        <c:minorTickMark val="none"/>
        <c:tickLblPos val="nextTo"/>
        <c:crossAx val="68354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£M</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864.60194658639773</c:v>
                </c:pt>
                <c:pt idx="1">
                  <c:v>918.25907585055359</c:v>
                </c:pt>
                <c:pt idx="2">
                  <c:v>956.80411744664059</c:v>
                </c:pt>
                <c:pt idx="3">
                  <c:v>974.16489244921706</c:v>
                </c:pt>
                <c:pt idx="4">
                  <c:v>1019.7428226139715</c:v>
                </c:pt>
                <c:pt idx="5">
                  <c:v>1010.397459969476</c:v>
                </c:pt>
                <c:pt idx="6">
                  <c:v>1044.7145782520606</c:v>
                </c:pt>
                <c:pt idx="7">
                  <c:v>1075.4886508055638</c:v>
                </c:pt>
                <c:pt idx="8">
                  <c:v>1118.3304817419687</c:v>
                </c:pt>
                <c:pt idx="9">
                  <c:v>407.51944632943946</c:v>
                </c:pt>
                <c:pt idx="10">
                  <c:v>797.51376326363459</c:v>
                </c:pt>
                <c:pt idx="11">
                  <c:v>1097.7545416513522</c:v>
                </c:pt>
              </c:numCache>
            </c:numRef>
          </c:val>
          <c:extLst>
            <c:ext xmlns:c16="http://schemas.microsoft.com/office/drawing/2014/chart" uri="{C3380CC4-5D6E-409C-BE32-E72D297353CC}">
              <c16:uniqueId val="{00000000-18D3-418E-AC99-A91926D51357}"/>
            </c:ext>
          </c:extLst>
        </c:ser>
        <c:dLbls>
          <c:showLegendKey val="0"/>
          <c:showVal val="0"/>
          <c:showCatName val="0"/>
          <c:showSerName val="0"/>
          <c:showPercent val="0"/>
          <c:showBubbleSize val="0"/>
        </c:dLbls>
        <c:gapWidth val="75"/>
        <c:axId val="683542720"/>
        <c:axId val="683541936"/>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[0]!EISHAREOFTOTAL</c:f>
              <c:numCache>
                <c:formatCode>0.0%</c:formatCode>
                <c:ptCount val="12"/>
                <c:pt idx="0">
                  <c:v>1</c:v>
                </c:pt>
                <c:pt idx="1">
                  <c:v>1</c:v>
                </c:pt>
                <c:pt idx="2">
                  <c:v>1</c:v>
                </c:pt>
                <c:pt idx="3">
                  <c:v>1</c:v>
                </c:pt>
                <c:pt idx="4">
                  <c:v>1</c:v>
                </c:pt>
                <c:pt idx="5">
                  <c:v>0.99999999999999989</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18D3-418E-AC99-A91926D51357}"/>
            </c:ext>
          </c:extLst>
        </c:ser>
        <c:dLbls>
          <c:showLegendKey val="0"/>
          <c:showVal val="0"/>
          <c:showCatName val="0"/>
          <c:showSerName val="0"/>
          <c:showPercent val="0"/>
          <c:showBubbleSize val="0"/>
        </c:dLbls>
        <c:marker val="1"/>
        <c:smooth val="0"/>
        <c:axId val="683540760"/>
        <c:axId val="683539976"/>
      </c:lineChart>
      <c:valAx>
        <c:axId val="68353997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0760"/>
        <c:crosses val="max"/>
        <c:crossBetween val="between"/>
      </c:valAx>
      <c:catAx>
        <c:axId val="683540760"/>
        <c:scaling>
          <c:orientation val="minMax"/>
        </c:scaling>
        <c:delete val="1"/>
        <c:axPos val="b"/>
        <c:numFmt formatCode="0" sourceLinked="1"/>
        <c:majorTickMark val="out"/>
        <c:minorTickMark val="none"/>
        <c:tickLblPos val="nextTo"/>
        <c:crossAx val="683539976"/>
        <c:crosses val="autoZero"/>
        <c:auto val="1"/>
        <c:lblAlgn val="ctr"/>
        <c:lblOffset val="100"/>
        <c:noMultiLvlLbl val="0"/>
      </c:catAx>
      <c:valAx>
        <c:axId val="68354193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2720"/>
        <c:crosses val="autoZero"/>
        <c:crossBetween val="between"/>
      </c:valAx>
      <c:catAx>
        <c:axId val="683542720"/>
        <c:scaling>
          <c:orientation val="minMax"/>
        </c:scaling>
        <c:delete val="1"/>
        <c:axPos val="b"/>
        <c:numFmt formatCode="0" sourceLinked="1"/>
        <c:majorTickMark val="out"/>
        <c:minorTickMark val="none"/>
        <c:tickLblPos val="nextTo"/>
        <c:crossAx val="683541936"/>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M</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7.8931782262643102</c:v>
                </c:pt>
                <c:pt idx="1">
                  <c:v>7.9772915963769329</c:v>
                </c:pt>
                <c:pt idx="2">
                  <c:v>8.4762259686949939</c:v>
                </c:pt>
                <c:pt idx="3">
                  <c:v>8.7971946207851488</c:v>
                </c:pt>
                <c:pt idx="4">
                  <c:v>9.2881268629584355</c:v>
                </c:pt>
                <c:pt idx="5">
                  <c:v>9.1828709974957086</c:v>
                </c:pt>
                <c:pt idx="6">
                  <c:v>9.2896631660385882</c:v>
                </c:pt>
                <c:pt idx="7">
                  <c:v>9.4414337277900877</c:v>
                </c:pt>
                <c:pt idx="8">
                  <c:v>9.7916860765601506</c:v>
                </c:pt>
                <c:pt idx="9">
                  <c:v>3.5005555948955389</c:v>
                </c:pt>
                <c:pt idx="10">
                  <c:v>7.8761037665424007</c:v>
                </c:pt>
                <c:pt idx="11">
                  <c:v>9.4720991330439297</c:v>
                </c:pt>
              </c:numCache>
            </c:numRef>
          </c:val>
          <c:extLst>
            <c:ext xmlns:c16="http://schemas.microsoft.com/office/drawing/2014/chart" uri="{C3380CC4-5D6E-409C-BE32-E72D297353CC}">
              <c16:uniqueId val="{00000000-41CA-4704-A404-E1996530ED71}"/>
            </c:ext>
          </c:extLst>
        </c:ser>
        <c:dLbls>
          <c:showLegendKey val="0"/>
          <c:showVal val="0"/>
          <c:showCatName val="0"/>
          <c:showSerName val="0"/>
          <c:showPercent val="0"/>
          <c:showBubbleSize val="0"/>
        </c:dLbls>
        <c:gapWidth val="75"/>
        <c:axId val="735320368"/>
        <c:axId val="735319976"/>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1CA-4704-A404-E1996530ED71}"/>
            </c:ext>
          </c:extLst>
        </c:ser>
        <c:dLbls>
          <c:showLegendKey val="0"/>
          <c:showVal val="0"/>
          <c:showCatName val="0"/>
          <c:showSerName val="0"/>
          <c:showPercent val="0"/>
          <c:showBubbleSize val="0"/>
        </c:dLbls>
        <c:marker val="1"/>
        <c:smooth val="0"/>
        <c:axId val="735317624"/>
        <c:axId val="683546248"/>
      </c:lineChart>
      <c:valAx>
        <c:axId val="6835462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7624"/>
        <c:crosses val="max"/>
        <c:crossBetween val="between"/>
      </c:valAx>
      <c:catAx>
        <c:axId val="735317624"/>
        <c:scaling>
          <c:orientation val="minMax"/>
        </c:scaling>
        <c:delete val="1"/>
        <c:axPos val="b"/>
        <c:numFmt formatCode="0" sourceLinked="1"/>
        <c:majorTickMark val="out"/>
        <c:minorTickMark val="none"/>
        <c:tickLblPos val="nextTo"/>
        <c:crossAx val="683546248"/>
        <c:crosses val="autoZero"/>
        <c:auto val="1"/>
        <c:lblAlgn val="ctr"/>
        <c:lblOffset val="100"/>
        <c:noMultiLvlLbl val="0"/>
      </c:catAx>
      <c:valAx>
        <c:axId val="73531997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0368"/>
        <c:crosses val="autoZero"/>
        <c:crossBetween val="between"/>
      </c:valAx>
      <c:catAx>
        <c:axId val="735320368"/>
        <c:scaling>
          <c:orientation val="minMax"/>
        </c:scaling>
        <c:delete val="1"/>
        <c:axPos val="b"/>
        <c:numFmt formatCode="0" sourceLinked="1"/>
        <c:majorTickMark val="out"/>
        <c:minorTickMark val="none"/>
        <c:tickLblPos val="nextTo"/>
        <c:crossAx val="735319976"/>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M</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14.432313629887423</c:v>
                </c:pt>
                <c:pt idx="1">
                  <c:v>15.505076555463541</c:v>
                </c:pt>
                <c:pt idx="2">
                  <c:v>16.162963601235592</c:v>
                </c:pt>
                <c:pt idx="3">
                  <c:v>16.39642157358421</c:v>
                </c:pt>
                <c:pt idx="4">
                  <c:v>17.144143912264582</c:v>
                </c:pt>
                <c:pt idx="5">
                  <c:v>16.967380704366583</c:v>
                </c:pt>
                <c:pt idx="6">
                  <c:v>17.470371590891492</c:v>
                </c:pt>
                <c:pt idx="7">
                  <c:v>17.807710673973215</c:v>
                </c:pt>
                <c:pt idx="8">
                  <c:v>18.355096118236808</c:v>
                </c:pt>
                <c:pt idx="9">
                  <c:v>6.2657038549013215</c:v>
                </c:pt>
                <c:pt idx="10">
                  <c:v>13.841000316230623</c:v>
                </c:pt>
                <c:pt idx="11">
                  <c:v>17.957917562781528</c:v>
                </c:pt>
              </c:numCache>
            </c:numRef>
          </c:val>
          <c:extLst>
            <c:ext xmlns:c16="http://schemas.microsoft.com/office/drawing/2014/chart" uri="{C3380CC4-5D6E-409C-BE32-E72D297353CC}">
              <c16:uniqueId val="{00000000-E9CF-48D8-A2E2-297AAB4F6C38}"/>
            </c:ext>
          </c:extLst>
        </c:ser>
        <c:dLbls>
          <c:showLegendKey val="0"/>
          <c:showVal val="0"/>
          <c:showCatName val="0"/>
          <c:showSerName val="0"/>
          <c:showPercent val="0"/>
          <c:showBubbleSize val="0"/>
        </c:dLbls>
        <c:gapWidth val="75"/>
        <c:axId val="735321152"/>
        <c:axId val="735314488"/>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2-E9CF-48D8-A2E2-297AAB4F6C38}"/>
              </c:ext>
            </c:extLst>
          </c:dPt>
          <c:dPt>
            <c:idx val="2"/>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4-E9CF-48D8-A2E2-297AAB4F6C38}"/>
              </c:ext>
            </c:extLst>
          </c:dPt>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5-E9CF-48D8-A2E2-297AAB4F6C38}"/>
            </c:ext>
          </c:extLst>
        </c:ser>
        <c:dLbls>
          <c:showLegendKey val="0"/>
          <c:showVal val="0"/>
          <c:showCatName val="0"/>
          <c:showSerName val="0"/>
          <c:showPercent val="0"/>
          <c:showBubbleSize val="0"/>
        </c:dLbls>
        <c:marker val="1"/>
        <c:smooth val="0"/>
        <c:axId val="735318016"/>
        <c:axId val="735315664"/>
      </c:lineChart>
      <c:valAx>
        <c:axId val="73531566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8016"/>
        <c:crosses val="max"/>
        <c:crossBetween val="between"/>
      </c:valAx>
      <c:catAx>
        <c:axId val="735318016"/>
        <c:scaling>
          <c:orientation val="minMax"/>
        </c:scaling>
        <c:delete val="1"/>
        <c:axPos val="b"/>
        <c:numFmt formatCode="0" sourceLinked="1"/>
        <c:majorTickMark val="out"/>
        <c:minorTickMark val="none"/>
        <c:tickLblPos val="nextTo"/>
        <c:crossAx val="735315664"/>
        <c:crosses val="autoZero"/>
        <c:auto val="1"/>
        <c:lblAlgn val="ctr"/>
        <c:lblOffset val="100"/>
        <c:noMultiLvlLbl val="0"/>
      </c:catAx>
      <c:valAx>
        <c:axId val="735314488"/>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152"/>
        <c:crosses val="autoZero"/>
        <c:crossBetween val="between"/>
      </c:valAx>
      <c:catAx>
        <c:axId val="735321152"/>
        <c:scaling>
          <c:orientation val="minMax"/>
        </c:scaling>
        <c:delete val="1"/>
        <c:axPos val="b"/>
        <c:numFmt formatCode="0" sourceLinked="1"/>
        <c:majorTickMark val="out"/>
        <c:minorTickMark val="none"/>
        <c:tickLblPos val="nextTo"/>
        <c:crossAx val="735314488"/>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10880.908747985273</c:v>
                </c:pt>
                <c:pt idx="1">
                  <c:v>11627.973474680175</c:v>
                </c:pt>
                <c:pt idx="2">
                  <c:v>12056.007091561429</c:v>
                </c:pt>
                <c:pt idx="3">
                  <c:v>11312.626017935543</c:v>
                </c:pt>
                <c:pt idx="4">
                  <c:v>12060.438293956968</c:v>
                </c:pt>
                <c:pt idx="5">
                  <c:v>11942.450370033714</c:v>
                </c:pt>
                <c:pt idx="6">
                  <c:v>12027.563479744518</c:v>
                </c:pt>
                <c:pt idx="7">
                  <c:v>11988.549418908675</c:v>
                </c:pt>
                <c:pt idx="8">
                  <c:v>12617.223004585843</c:v>
                </c:pt>
                <c:pt idx="9">
                  <c:v>5492.5087654514364</c:v>
                </c:pt>
                <c:pt idx="10">
                  <c:v>8782.8931356346147</c:v>
                </c:pt>
                <c:pt idx="11">
                  <c:v>11871.357240241756</c:v>
                </c:pt>
              </c:numCache>
            </c:numRef>
          </c:val>
          <c:extLst>
            <c:ext xmlns:c16="http://schemas.microsoft.com/office/drawing/2014/chart" uri="{C3380CC4-5D6E-409C-BE32-E72D297353CC}">
              <c16:uniqueId val="{00000000-0F92-4700-8F3B-969EC935A474}"/>
            </c:ext>
          </c:extLst>
        </c:ser>
        <c:dLbls>
          <c:showLegendKey val="0"/>
          <c:showVal val="0"/>
          <c:showCatName val="0"/>
          <c:showSerName val="0"/>
          <c:showPercent val="0"/>
          <c:showBubbleSize val="0"/>
        </c:dLbls>
        <c:gapWidth val="75"/>
        <c:axId val="735319192"/>
        <c:axId val="735318800"/>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92-4700-8F3B-969EC935A474}"/>
            </c:ext>
          </c:extLst>
        </c:ser>
        <c:dLbls>
          <c:showLegendKey val="0"/>
          <c:showVal val="0"/>
          <c:showCatName val="0"/>
          <c:showSerName val="0"/>
          <c:showPercent val="0"/>
          <c:showBubbleSize val="0"/>
        </c:dLbls>
        <c:marker val="1"/>
        <c:smooth val="0"/>
        <c:axId val="735321544"/>
        <c:axId val="735314880"/>
      </c:lineChart>
      <c:valAx>
        <c:axId val="735314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544"/>
        <c:crosses val="max"/>
        <c:crossBetween val="between"/>
      </c:valAx>
      <c:catAx>
        <c:axId val="735321544"/>
        <c:scaling>
          <c:orientation val="minMax"/>
        </c:scaling>
        <c:delete val="1"/>
        <c:axPos val="b"/>
        <c:numFmt formatCode="0" sourceLinked="1"/>
        <c:majorTickMark val="out"/>
        <c:minorTickMark val="none"/>
        <c:tickLblPos val="nextTo"/>
        <c:crossAx val="735314880"/>
        <c:crosses val="autoZero"/>
        <c:auto val="1"/>
        <c:lblAlgn val="ctr"/>
        <c:lblOffset val="100"/>
        <c:noMultiLvlLbl val="0"/>
      </c:catAx>
      <c:valAx>
        <c:axId val="735318800"/>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9192"/>
        <c:crosses val="autoZero"/>
        <c:crossBetween val="between"/>
      </c:valAx>
      <c:catAx>
        <c:axId val="735319192"/>
        <c:scaling>
          <c:orientation val="minMax"/>
        </c:scaling>
        <c:delete val="1"/>
        <c:axPos val="b"/>
        <c:numFmt formatCode="0" sourceLinked="1"/>
        <c:majorTickMark val="out"/>
        <c:minorTickMark val="none"/>
        <c:tickLblPos val="nextTo"/>
        <c:crossAx val="735318800"/>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2022</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1-F57A-46BA-AA1F-92002853843A}"/>
              </c:ext>
            </c:extLst>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3-F57A-46BA-AA1F-92002853843A}"/>
              </c:ext>
            </c:extLst>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5-F57A-46BA-AA1F-92002853843A}"/>
              </c:ext>
            </c:extLst>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7-F57A-46BA-AA1F-92002853843A}"/>
              </c:ext>
            </c:extLst>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9-F57A-46BA-AA1F-92002853843A}"/>
              </c:ext>
            </c:extLst>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B-F57A-46BA-AA1F-92002853843A}"/>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3123.9368999560652</c:v>
                </c:pt>
                <c:pt idx="1">
                  <c:v>2444.5791659002152</c:v>
                </c:pt>
                <c:pt idx="2">
                  <c:v>715.02702278836534</c:v>
                </c:pt>
                <c:pt idx="3">
                  <c:v>2820.3242301256728</c:v>
                </c:pt>
                <c:pt idx="4">
                  <c:v>416.70632994450165</c:v>
                </c:pt>
                <c:pt idx="5">
                  <c:v>2350.7835915269352</c:v>
                </c:pt>
              </c:numCache>
            </c:numRef>
          </c:val>
          <c:extLst>
            <c:ext xmlns:c16="http://schemas.microsoft.com/office/drawing/2014/chart" uri="{C3380CC4-5D6E-409C-BE32-E72D297353CC}">
              <c16:uniqueId val="{0000000C-F57A-46BA-AA1F-9200285384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2022</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8604.7006944052737</c:v>
                </c:pt>
                <c:pt idx="1">
                  <c:v>8332.5145205099161</c:v>
                </c:pt>
                <c:pt idx="2">
                  <c:v>43666.306543139865</c:v>
                </c:pt>
                <c:pt idx="3">
                  <c:v>49962.195529563738</c:v>
                </c:pt>
                <c:pt idx="4">
                  <c:v>49760.603467816283</c:v>
                </c:pt>
                <c:pt idx="5">
                  <c:v>50095.578930221222</c:v>
                </c:pt>
                <c:pt idx="6">
                  <c:v>49990.630902560668</c:v>
                </c:pt>
                <c:pt idx="7">
                  <c:v>49979.11432069468</c:v>
                </c:pt>
                <c:pt idx="8">
                  <c:v>50490.156939593864</c:v>
                </c:pt>
                <c:pt idx="9">
                  <c:v>50545.145023941302</c:v>
                </c:pt>
                <c:pt idx="10">
                  <c:v>31006.858853130056</c:v>
                </c:pt>
                <c:pt idx="11">
                  <c:v>11329.023569890574</c:v>
                </c:pt>
              </c:numCache>
            </c:numRef>
          </c:val>
          <c:extLst>
            <c:ext xmlns:c16="http://schemas.microsoft.com/office/drawing/2014/chart" uri="{C3380CC4-5D6E-409C-BE32-E72D297353CC}">
              <c16:uniqueId val="{00000000-EFAF-4A06-819D-4A8842796163}"/>
            </c:ext>
          </c:extLst>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7712</c:v>
                </c:pt>
                <c:pt idx="1">
                  <c:v>8389</c:v>
                </c:pt>
                <c:pt idx="2">
                  <c:v>8992</c:v>
                </c:pt>
                <c:pt idx="3">
                  <c:v>9293</c:v>
                </c:pt>
                <c:pt idx="4">
                  <c:v>9293</c:v>
                </c:pt>
                <c:pt idx="5">
                  <c:v>9293</c:v>
                </c:pt>
                <c:pt idx="6">
                  <c:v>9293</c:v>
                </c:pt>
                <c:pt idx="7">
                  <c:v>9293</c:v>
                </c:pt>
                <c:pt idx="8">
                  <c:v>9293</c:v>
                </c:pt>
                <c:pt idx="9">
                  <c:v>9236</c:v>
                </c:pt>
                <c:pt idx="10">
                  <c:v>8953</c:v>
                </c:pt>
                <c:pt idx="11">
                  <c:v>8382</c:v>
                </c:pt>
              </c:numCache>
            </c:numRef>
          </c:val>
          <c:extLst>
            <c:ext xmlns:c16="http://schemas.microsoft.com/office/drawing/2014/chart" uri="{C3380CC4-5D6E-409C-BE32-E72D297353CC}">
              <c16:uniqueId val="{00000001-EFAF-4A06-819D-4A8842796163}"/>
            </c:ext>
          </c:extLst>
        </c:ser>
        <c:dLbls>
          <c:showLegendKey val="0"/>
          <c:showVal val="0"/>
          <c:showCatName val="0"/>
          <c:showSerName val="0"/>
          <c:showPercent val="0"/>
          <c:showBubbleSize val="0"/>
        </c:dLbls>
        <c:gapDepth val="500"/>
        <c:axId val="735292536"/>
        <c:axId val="735289400"/>
        <c:axId val="0"/>
      </c:area3DChart>
      <c:catAx>
        <c:axId val="735292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89400"/>
        <c:crosses val="autoZero"/>
        <c:auto val="1"/>
        <c:lblAlgn val="ctr"/>
        <c:lblOffset val="100"/>
        <c:noMultiLvlLbl val="0"/>
      </c:catAx>
      <c:valAx>
        <c:axId val="735289400"/>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2536"/>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2022</c:v>
                </c:pt>
              </c:strCache>
            </c:strRef>
          </c:tx>
          <c:spPr>
            <a:solidFill>
              <a:schemeClr val="accent1">
                <a:alpha val="55000"/>
              </a:schemeClr>
            </a:solidFill>
            <a:ln w="25400">
              <a:solidFill>
                <a:schemeClr val="tx2">
                  <a:lumMod val="50000"/>
                  <a:alpha val="55000"/>
                </a:schemeClr>
              </a:solidFill>
            </a:ln>
            <a:effectLst/>
          </c:spPr>
          <c:dPt>
            <c:idx val="0"/>
            <c:bubble3D val="0"/>
            <c:extLst>
              <c:ext xmlns:c16="http://schemas.microsoft.com/office/drawing/2014/chart" uri="{C3380CC4-5D6E-409C-BE32-E72D297353CC}">
                <c16:uniqueId val="{00000000-AB63-4B36-B583-114EA2D27348}"/>
              </c:ext>
            </c:extLst>
          </c:dPt>
          <c:dPt>
            <c:idx val="1"/>
            <c:bubble3D val="0"/>
            <c:extLst>
              <c:ext xmlns:c16="http://schemas.microsoft.com/office/drawing/2014/chart" uri="{C3380CC4-5D6E-409C-BE32-E72D297353CC}">
                <c16:uniqueId val="{00000001-AB63-4B36-B583-114EA2D27348}"/>
              </c:ext>
            </c:extLst>
          </c:dPt>
          <c:dPt>
            <c:idx val="2"/>
            <c:bubble3D val="0"/>
            <c:extLst>
              <c:ext xmlns:c16="http://schemas.microsoft.com/office/drawing/2014/chart" uri="{C3380CC4-5D6E-409C-BE32-E72D297353CC}">
                <c16:uniqueId val="{00000002-AB63-4B36-B583-114EA2D27348}"/>
              </c:ext>
            </c:extLst>
          </c:dPt>
          <c:dPt>
            <c:idx val="3"/>
            <c:bubble3D val="0"/>
            <c:extLst>
              <c:ext xmlns:c16="http://schemas.microsoft.com/office/drawing/2014/chart" uri="{C3380CC4-5D6E-409C-BE32-E72D297353CC}">
                <c16:uniqueId val="{00000003-AB63-4B36-B583-114EA2D27348}"/>
              </c:ext>
            </c:extLst>
          </c:dPt>
          <c:dPt>
            <c:idx val="4"/>
            <c:bubble3D val="0"/>
            <c:extLst>
              <c:ext xmlns:c16="http://schemas.microsoft.com/office/drawing/2014/chart" uri="{C3380CC4-5D6E-409C-BE32-E72D297353CC}">
                <c16:uniqueId val="{00000004-AB63-4B36-B583-114EA2D27348}"/>
              </c:ext>
            </c:extLst>
          </c:dPt>
          <c:dPt>
            <c:idx val="5"/>
            <c:bubble3D val="0"/>
            <c:extLst>
              <c:ext xmlns:c16="http://schemas.microsoft.com/office/drawing/2014/chart" uri="{C3380CC4-5D6E-409C-BE32-E72D297353CC}">
                <c16:uniqueId val="{00000005-AB63-4B36-B583-114EA2D27348}"/>
              </c:ext>
            </c:extLst>
          </c:dPt>
          <c:dPt>
            <c:idx val="6"/>
            <c:bubble3D val="0"/>
            <c:extLst>
              <c:ext xmlns:c16="http://schemas.microsoft.com/office/drawing/2014/chart" uri="{C3380CC4-5D6E-409C-BE32-E72D297353CC}">
                <c16:uniqueId val="{00000006-AB63-4B36-B583-114EA2D27348}"/>
              </c:ext>
            </c:extLst>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B63-4B36-B583-114EA2D27348}"/>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63-4B36-B583-114EA2D27348}"/>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B63-4B36-B583-114EA2D27348}"/>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B63-4B36-B583-114EA2D27348}"/>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B63-4B36-B583-114EA2D27348}"/>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B63-4B36-B583-114EA2D27348}"/>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170.87674575580743</c:v>
                </c:pt>
                <c:pt idx="1">
                  <c:v>155.59257475121683</c:v>
                </c:pt>
                <c:pt idx="2">
                  <c:v>49.230916153714439</c:v>
                </c:pt>
                <c:pt idx="3">
                  <c:v>238.74563547672167</c:v>
                </c:pt>
                <c:pt idx="4">
                  <c:v>73.100463643696401</c:v>
                </c:pt>
                <c:pt idx="5">
                  <c:v>134.37970405759995</c:v>
                </c:pt>
                <c:pt idx="6">
                  <c:v>275.82850181259533</c:v>
                </c:pt>
              </c:numCache>
            </c:numRef>
          </c:val>
          <c:extLst>
            <c:ext xmlns:c16="http://schemas.microsoft.com/office/drawing/2014/chart" uri="{C3380CC4-5D6E-409C-BE32-E72D297353CC}">
              <c16:uniqueId val="{00000007-AB63-4B36-B583-114EA2D27348}"/>
            </c:ext>
          </c:extLst>
        </c:ser>
        <c:dLbls>
          <c:showLegendKey val="0"/>
          <c:showVal val="0"/>
          <c:showCatName val="0"/>
          <c:showSerName val="0"/>
          <c:showPercent val="0"/>
          <c:showBubbleSize val="0"/>
        </c:dLbls>
        <c:axId val="735296848"/>
        <c:axId val="735299592"/>
      </c:radarChart>
      <c:catAx>
        <c:axId val="735296848"/>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9592"/>
        <c:crosses val="autoZero"/>
        <c:auto val="1"/>
        <c:lblAlgn val="ctr"/>
        <c:lblOffset val="100"/>
        <c:noMultiLvlLbl val="0"/>
      </c:catAx>
      <c:valAx>
        <c:axId val="735299592"/>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7352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2022</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extLst>
              <c:ext xmlns:c16="http://schemas.microsoft.com/office/drawing/2014/chart" uri="{C3380CC4-5D6E-409C-BE32-E72D297353CC}">
                <c16:uniqueId val="{00000000-4C4D-4EB3-A1C8-A3BFD1F781F3}"/>
              </c:ext>
            </c:extLst>
          </c:dPt>
          <c:dPt>
            <c:idx val="1"/>
            <c:bubble3D val="0"/>
            <c:extLst>
              <c:ext xmlns:c16="http://schemas.microsoft.com/office/drawing/2014/chart" uri="{C3380CC4-5D6E-409C-BE32-E72D297353CC}">
                <c16:uniqueId val="{00000001-4C4D-4EB3-A1C8-A3BFD1F781F3}"/>
              </c:ext>
            </c:extLst>
          </c:dPt>
          <c:dPt>
            <c:idx val="2"/>
            <c:bubble3D val="0"/>
            <c:extLst>
              <c:ext xmlns:c16="http://schemas.microsoft.com/office/drawing/2014/chart" uri="{C3380CC4-5D6E-409C-BE32-E72D297353CC}">
                <c16:uniqueId val="{00000002-4C4D-4EB3-A1C8-A3BFD1F781F3}"/>
              </c:ext>
            </c:extLst>
          </c:dPt>
          <c:dPt>
            <c:idx val="3"/>
            <c:bubble3D val="0"/>
            <c:extLst>
              <c:ext xmlns:c16="http://schemas.microsoft.com/office/drawing/2014/chart" uri="{C3380CC4-5D6E-409C-BE32-E72D297353CC}">
                <c16:uniqueId val="{00000003-4C4D-4EB3-A1C8-A3BFD1F781F3}"/>
              </c:ext>
            </c:extLst>
          </c:dPt>
          <c:dPt>
            <c:idx val="4"/>
            <c:bubble3D val="0"/>
            <c:extLst>
              <c:ext xmlns:c16="http://schemas.microsoft.com/office/drawing/2014/chart" uri="{C3380CC4-5D6E-409C-BE32-E72D297353CC}">
                <c16:uniqueId val="{00000004-4C4D-4EB3-A1C8-A3BFD1F781F3}"/>
              </c:ext>
            </c:extLst>
          </c:dPt>
          <c:dPt>
            <c:idx val="5"/>
            <c:bubble3D val="0"/>
            <c:extLst>
              <c:ext xmlns:c16="http://schemas.microsoft.com/office/drawing/2014/chart" uri="{C3380CC4-5D6E-409C-BE32-E72D297353CC}">
                <c16:uniqueId val="{00000005-4C4D-4EB3-A1C8-A3BFD1F781F3}"/>
              </c:ext>
            </c:extLst>
          </c:dPt>
          <c:dPt>
            <c:idx val="6"/>
            <c:bubble3D val="0"/>
            <c:extLst>
              <c:ext xmlns:c16="http://schemas.microsoft.com/office/drawing/2014/chart" uri="{C3380CC4-5D6E-409C-BE32-E72D297353CC}">
                <c16:uniqueId val="{00000006-4C4D-4EB3-A1C8-A3BFD1F781F3}"/>
              </c:ext>
            </c:extLst>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C4D-4EB3-A1C8-A3BFD1F781F3}"/>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EB3-A1C8-A3BFD1F781F3}"/>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C4D-4EB3-A1C8-A3BFD1F781F3}"/>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4C4D-4EB3-A1C8-A3BFD1F781F3}"/>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4C4D-4EB3-A1C8-A3BFD1F781F3}"/>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4C4D-4EB3-A1C8-A3BFD1F781F3}"/>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(26.3%)</c:v>
                </c:pt>
                <c:pt idx="1">
                  <c:v>Food &amp; Drink (20.6%)</c:v>
                </c:pt>
                <c:pt idx="2">
                  <c:v>Recreation (6.0%)</c:v>
                </c:pt>
                <c:pt idx="3">
                  <c:v>Shopping (23.8%)</c:v>
                </c:pt>
                <c:pt idx="4">
                  <c:v>Transport (3.5%)</c:v>
                </c:pt>
                <c:pt idx="5">
                  <c:v>Indirect Employment (19.8%)</c:v>
                </c:pt>
              </c:strCache>
            </c:strRef>
          </c:cat>
          <c:val>
            <c:numRef>
              <c:f>('SECTORAL ANALYSIS'!$S$25:$S$29,'SECTORAL ANALYSIS'!$S$31)</c:f>
              <c:numCache>
                <c:formatCode>#,##0</c:formatCode>
                <c:ptCount val="6"/>
                <c:pt idx="0">
                  <c:v>3123.9368999560652</c:v>
                </c:pt>
                <c:pt idx="1">
                  <c:v>2444.5791659002152</c:v>
                </c:pt>
                <c:pt idx="2">
                  <c:v>715.02702278836534</c:v>
                </c:pt>
                <c:pt idx="3">
                  <c:v>2820.3242301256728</c:v>
                </c:pt>
                <c:pt idx="4">
                  <c:v>416.70632994450165</c:v>
                </c:pt>
                <c:pt idx="5">
                  <c:v>2350.7835915269343</c:v>
                </c:pt>
              </c:numCache>
            </c:numRef>
          </c:val>
          <c:extLst>
            <c:ext xmlns:c16="http://schemas.microsoft.com/office/drawing/2014/chart" uri="{C3380CC4-5D6E-409C-BE32-E72D297353CC}">
              <c16:uniqueId val="{00000007-4C4D-4EB3-A1C8-A3BFD1F781F3}"/>
            </c:ext>
          </c:extLst>
        </c:ser>
        <c:dLbls>
          <c:showLegendKey val="0"/>
          <c:showVal val="0"/>
          <c:showCatName val="0"/>
          <c:showSerName val="0"/>
          <c:showPercent val="0"/>
          <c:showBubbleSize val="0"/>
        </c:dLbls>
        <c:axId val="735296456"/>
        <c:axId val="735290968"/>
      </c:radarChart>
      <c:catAx>
        <c:axId val="735296456"/>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0968"/>
        <c:crosses val="autoZero"/>
        <c:auto val="1"/>
        <c:lblAlgn val="ctr"/>
        <c:lblOffset val="100"/>
        <c:noMultiLvlLbl val="0"/>
      </c:catAx>
      <c:valAx>
        <c:axId val="735290968"/>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73529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B555-48AE-A558-C5DF1DD08700}"/>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0.39368076305081634</c:v>
                </c:pt>
              </c:numCache>
            </c:numRef>
          </c:val>
          <c:extLst>
            <c:ext xmlns:c16="http://schemas.microsoft.com/office/drawing/2014/chart" uri="{C3380CC4-5D6E-409C-BE32-E72D297353CC}">
              <c16:uniqueId val="{00000001-B555-48AE-A558-C5DF1DD08700}"/>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B555-48AE-A558-C5DF1DD08700}"/>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0.47806505230275742</c:v>
                </c:pt>
              </c:numCache>
            </c:numRef>
          </c:val>
          <c:extLst>
            <c:ext xmlns:c16="http://schemas.microsoft.com/office/drawing/2014/chart" uri="{C3380CC4-5D6E-409C-BE32-E72D297353CC}">
              <c16:uniqueId val="{00000003-B555-48AE-A558-C5DF1DD08700}"/>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555-48AE-A558-C5DF1DD08700}"/>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0.26953495838449903</c:v>
                </c:pt>
              </c:numCache>
            </c:numRef>
          </c:val>
          <c:extLst>
            <c:ext xmlns:c16="http://schemas.microsoft.com/office/drawing/2014/chart" uri="{C3380CC4-5D6E-409C-BE32-E72D297353CC}">
              <c16:uniqueId val="{00000005-B555-48AE-A558-C5DF1DD08700}"/>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0.2572175803568244</c:v>
                </c:pt>
              </c:numCache>
            </c:numRef>
          </c:val>
          <c:extLst>
            <c:ext xmlns:c16="http://schemas.microsoft.com/office/drawing/2014/chart" uri="{C3380CC4-5D6E-409C-BE32-E72D297353CC}">
              <c16:uniqueId val="{00000006-B555-48AE-A558-C5DF1DD08700}"/>
            </c:ext>
          </c:extLst>
        </c:ser>
        <c:dLbls>
          <c:dLblPos val="outEnd"/>
          <c:showLegendKey val="0"/>
          <c:showVal val="1"/>
          <c:showCatName val="0"/>
          <c:showSerName val="0"/>
          <c:showPercent val="0"/>
          <c:showBubbleSize val="0"/>
        </c:dLbls>
        <c:gapWidth val="0"/>
        <c:overlap val="10"/>
        <c:axId val="683552128"/>
        <c:axId val="683556440"/>
      </c:barChart>
      <c:catAx>
        <c:axId val="683552128"/>
        <c:scaling>
          <c:orientation val="minMax"/>
        </c:scaling>
        <c:delete val="1"/>
        <c:axPos val="b"/>
        <c:majorTickMark val="none"/>
        <c:minorTickMark val="none"/>
        <c:tickLblPos val="nextTo"/>
        <c:crossAx val="683556440"/>
        <c:crosses val="autoZero"/>
        <c:auto val="1"/>
        <c:lblAlgn val="ctr"/>
        <c:lblOffset val="100"/>
        <c:noMultiLvlLbl val="0"/>
      </c:catAx>
      <c:valAx>
        <c:axId val="68355644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212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D478-4DB6-B9D4-3CAE5873D6CD}"/>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2.746670939251493</c:v>
                </c:pt>
              </c:numCache>
            </c:numRef>
          </c:val>
          <c:extLst>
            <c:ext xmlns:c16="http://schemas.microsoft.com/office/drawing/2014/chart" uri="{C3380CC4-5D6E-409C-BE32-E72D297353CC}">
              <c16:uniqueId val="{00000001-D478-4DB6-B9D4-3CAE5873D6CD}"/>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D478-4DB6-B9D4-3CAE5873D6CD}"/>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2.7640694092034881</c:v>
                </c:pt>
              </c:numCache>
            </c:numRef>
          </c:val>
          <c:extLst>
            <c:ext xmlns:c16="http://schemas.microsoft.com/office/drawing/2014/chart" uri="{C3380CC4-5D6E-409C-BE32-E72D297353CC}">
              <c16:uniqueId val="{00000003-D478-4DB6-B9D4-3CAE5873D6CD}"/>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D478-4DB6-B9D4-3CAE5873D6CD}"/>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2.7465010379138612</c:v>
                </c:pt>
              </c:numCache>
            </c:numRef>
          </c:val>
          <c:extLst>
            <c:ext xmlns:c16="http://schemas.microsoft.com/office/drawing/2014/chart" uri="{C3380CC4-5D6E-409C-BE32-E72D297353CC}">
              <c16:uniqueId val="{00000005-D478-4DB6-B9D4-3CAE5873D6CD}"/>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2.5507683803468466</c:v>
                </c:pt>
              </c:numCache>
            </c:numRef>
          </c:val>
          <c:extLst>
            <c:ext xmlns:c16="http://schemas.microsoft.com/office/drawing/2014/chart" uri="{C3380CC4-5D6E-409C-BE32-E72D297353CC}">
              <c16:uniqueId val="{00000006-D478-4DB6-B9D4-3CAE5873D6CD}"/>
            </c:ext>
          </c:extLst>
        </c:ser>
        <c:dLbls>
          <c:dLblPos val="outEnd"/>
          <c:showLegendKey val="0"/>
          <c:showVal val="1"/>
          <c:showCatName val="0"/>
          <c:showSerName val="0"/>
          <c:showPercent val="0"/>
          <c:showBubbleSize val="0"/>
        </c:dLbls>
        <c:gapWidth val="0"/>
        <c:overlap val="10"/>
        <c:axId val="683553696"/>
        <c:axId val="683554088"/>
      </c:barChart>
      <c:catAx>
        <c:axId val="683553696"/>
        <c:scaling>
          <c:orientation val="minMax"/>
        </c:scaling>
        <c:delete val="1"/>
        <c:axPos val="b"/>
        <c:majorTickMark val="none"/>
        <c:minorTickMark val="none"/>
        <c:tickLblPos val="nextTo"/>
        <c:crossAx val="683554088"/>
        <c:crosses val="autoZero"/>
        <c:auto val="1"/>
        <c:lblAlgn val="ctr"/>
        <c:lblOffset val="100"/>
        <c:noMultiLvlLbl val="0"/>
      </c:catAx>
      <c:valAx>
        <c:axId val="68355408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36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24D-4921-912C-2A39E5F34D5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0.45933458193902421</c:v>
                </c:pt>
              </c:numCache>
            </c:numRef>
          </c:val>
          <c:extLst>
            <c:ext xmlns:c16="http://schemas.microsoft.com/office/drawing/2014/chart" uri="{C3380CC4-5D6E-409C-BE32-E72D297353CC}">
              <c16:uniqueId val="{00000001-924D-4921-912C-2A39E5F34D5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24D-4921-912C-2A39E5F34D5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0.59508315975635284</c:v>
                </c:pt>
              </c:numCache>
            </c:numRef>
          </c:val>
          <c:extLst>
            <c:ext xmlns:c16="http://schemas.microsoft.com/office/drawing/2014/chart" uri="{C3380CC4-5D6E-409C-BE32-E72D297353CC}">
              <c16:uniqueId val="{00000003-924D-4921-912C-2A39E5F34D5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24D-4921-912C-2A39E5F34D5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0.36114962567540965</c:v>
                </c:pt>
              </c:numCache>
            </c:numRef>
          </c:val>
          <c:extLst>
            <c:ext xmlns:c16="http://schemas.microsoft.com/office/drawing/2014/chart" uri="{C3380CC4-5D6E-409C-BE32-E72D297353CC}">
              <c16:uniqueId val="{00000005-924D-4921-912C-2A39E5F34D5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0.37255354685744901</c:v>
                </c:pt>
              </c:numCache>
            </c:numRef>
          </c:val>
          <c:extLst>
            <c:ext xmlns:c16="http://schemas.microsoft.com/office/drawing/2014/chart" uri="{C3380CC4-5D6E-409C-BE32-E72D297353CC}">
              <c16:uniqueId val="{00000006-924D-4921-912C-2A39E5F34D5B}"/>
            </c:ext>
          </c:extLst>
        </c:ser>
        <c:dLbls>
          <c:dLblPos val="outEnd"/>
          <c:showLegendKey val="0"/>
          <c:showVal val="1"/>
          <c:showCatName val="0"/>
          <c:showSerName val="0"/>
          <c:showPercent val="0"/>
          <c:showBubbleSize val="0"/>
        </c:dLbls>
        <c:gapWidth val="0"/>
        <c:overlap val="10"/>
        <c:axId val="683558792"/>
        <c:axId val="683555264"/>
      </c:barChart>
      <c:catAx>
        <c:axId val="683558792"/>
        <c:scaling>
          <c:orientation val="minMax"/>
        </c:scaling>
        <c:delete val="1"/>
        <c:axPos val="b"/>
        <c:majorTickMark val="none"/>
        <c:minorTickMark val="none"/>
        <c:tickLblPos val="nextTo"/>
        <c:crossAx val="683555264"/>
        <c:crosses val="autoZero"/>
        <c:auto val="1"/>
        <c:lblAlgn val="ctr"/>
        <c:lblOffset val="100"/>
        <c:noMultiLvlLbl val="0"/>
      </c:catAx>
      <c:valAx>
        <c:axId val="68355526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87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AF5-4C13-A384-2EBEE9B0B37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0.1015678735051444</c:v>
                </c:pt>
              </c:numCache>
            </c:numRef>
          </c:val>
          <c:extLst>
            <c:ext xmlns:c16="http://schemas.microsoft.com/office/drawing/2014/chart" uri="{C3380CC4-5D6E-409C-BE32-E72D297353CC}">
              <c16:uniqueId val="{00000001-9AF5-4C13-A384-2EBEE9B0B37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AF5-4C13-A384-2EBEE9B0B37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0.1015678735051444</c:v>
                </c:pt>
              </c:numCache>
            </c:numRef>
          </c:val>
          <c:extLst>
            <c:ext xmlns:c16="http://schemas.microsoft.com/office/drawing/2014/chart" uri="{C3380CC4-5D6E-409C-BE32-E72D297353CC}">
              <c16:uniqueId val="{00000003-9AF5-4C13-A384-2EBEE9B0B37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AF5-4C13-A384-2EBEE9B0B37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0.40666670104361713</c:v>
                </c:pt>
              </c:numCache>
            </c:numRef>
          </c:val>
          <c:extLst>
            <c:ext xmlns:c16="http://schemas.microsoft.com/office/drawing/2014/chart" uri="{C3380CC4-5D6E-409C-BE32-E72D297353CC}">
              <c16:uniqueId val="{00000005-9AF5-4C13-A384-2EBEE9B0B37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0.35536116557635933</c:v>
                </c:pt>
              </c:numCache>
            </c:numRef>
          </c:val>
          <c:extLst>
            <c:ext xmlns:c16="http://schemas.microsoft.com/office/drawing/2014/chart" uri="{C3380CC4-5D6E-409C-BE32-E72D297353CC}">
              <c16:uniqueId val="{00000006-9AF5-4C13-A384-2EBEE9B0B37B}"/>
            </c:ext>
          </c:extLst>
        </c:ser>
        <c:dLbls>
          <c:dLblPos val="outEnd"/>
          <c:showLegendKey val="0"/>
          <c:showVal val="1"/>
          <c:showCatName val="0"/>
          <c:showSerName val="0"/>
          <c:showPercent val="0"/>
          <c:showBubbleSize val="0"/>
        </c:dLbls>
        <c:gapWidth val="0"/>
        <c:overlap val="10"/>
        <c:axId val="683559968"/>
        <c:axId val="683556048"/>
      </c:barChart>
      <c:catAx>
        <c:axId val="683559968"/>
        <c:scaling>
          <c:orientation val="minMax"/>
        </c:scaling>
        <c:delete val="1"/>
        <c:axPos val="b"/>
        <c:majorTickMark val="none"/>
        <c:minorTickMark val="none"/>
        <c:tickLblPos val="nextTo"/>
        <c:crossAx val="683556048"/>
        <c:crosses val="autoZero"/>
        <c:auto val="1"/>
        <c:lblAlgn val="ctr"/>
        <c:lblOffset val="100"/>
        <c:noMultiLvlLbl val="0"/>
      </c:catAx>
      <c:valAx>
        <c:axId val="68355604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99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FC92-4C34-BB5D-7C7D52CDECDC}"/>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0.29744362058305929</c:v>
                </c:pt>
              </c:numCache>
            </c:numRef>
          </c:val>
          <c:extLst>
            <c:ext xmlns:c16="http://schemas.microsoft.com/office/drawing/2014/chart" uri="{C3380CC4-5D6E-409C-BE32-E72D297353CC}">
              <c16:uniqueId val="{00000001-FC92-4C34-BB5D-7C7D52CDECDC}"/>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FC92-4C34-BB5D-7C7D52CDECDC}"/>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0.20263767642083375</c:v>
                </c:pt>
              </c:numCache>
            </c:numRef>
          </c:val>
          <c:extLst>
            <c:ext xmlns:c16="http://schemas.microsoft.com/office/drawing/2014/chart" uri="{C3380CC4-5D6E-409C-BE32-E72D297353CC}">
              <c16:uniqueId val="{00000003-FC92-4C34-BB5D-7C7D52CDECDC}"/>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FC92-4C34-BB5D-7C7D52CDECDC}"/>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0.37647096792292811</c:v>
                </c:pt>
              </c:numCache>
            </c:numRef>
          </c:val>
          <c:extLst>
            <c:ext xmlns:c16="http://schemas.microsoft.com/office/drawing/2014/chart" uri="{C3380CC4-5D6E-409C-BE32-E72D297353CC}">
              <c16:uniqueId val="{00000005-FC92-4C34-BB5D-7C7D52CDECDC}"/>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0.36739596066305724</c:v>
                </c:pt>
              </c:numCache>
            </c:numRef>
          </c:val>
          <c:extLst>
            <c:ext xmlns:c16="http://schemas.microsoft.com/office/drawing/2014/chart" uri="{C3380CC4-5D6E-409C-BE32-E72D297353CC}">
              <c16:uniqueId val="{00000006-FC92-4C34-BB5D-7C7D52CDECDC}"/>
            </c:ext>
          </c:extLst>
        </c:ser>
        <c:dLbls>
          <c:dLblPos val="outEnd"/>
          <c:showLegendKey val="0"/>
          <c:showVal val="1"/>
          <c:showCatName val="0"/>
          <c:showSerName val="0"/>
          <c:showPercent val="0"/>
          <c:showBubbleSize val="0"/>
        </c:dLbls>
        <c:gapWidth val="0"/>
        <c:overlap val="10"/>
        <c:axId val="683560360"/>
        <c:axId val="683561144"/>
      </c:barChart>
      <c:catAx>
        <c:axId val="683560360"/>
        <c:scaling>
          <c:orientation val="minMax"/>
        </c:scaling>
        <c:delete val="1"/>
        <c:axPos val="b"/>
        <c:majorTickMark val="none"/>
        <c:minorTickMark val="none"/>
        <c:tickLblPos val="nextTo"/>
        <c:crossAx val="683561144"/>
        <c:crosses val="autoZero"/>
        <c:auto val="1"/>
        <c:lblAlgn val="ctr"/>
        <c:lblOffset val="100"/>
        <c:noMultiLvlLbl val="0"/>
      </c:catAx>
      <c:valAx>
        <c:axId val="68356114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6036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864.60194658639773</c:v>
                </c:pt>
                <c:pt idx="1">
                  <c:v>918.25907585055359</c:v>
                </c:pt>
                <c:pt idx="2">
                  <c:v>956.80411744664059</c:v>
                </c:pt>
                <c:pt idx="3">
                  <c:v>974.16489244921706</c:v>
                </c:pt>
                <c:pt idx="4">
                  <c:v>1019.7428226139715</c:v>
                </c:pt>
                <c:pt idx="5">
                  <c:v>1010.397459969476</c:v>
                </c:pt>
                <c:pt idx="6">
                  <c:v>1044.7145782520606</c:v>
                </c:pt>
                <c:pt idx="7">
                  <c:v>1075.4886508055638</c:v>
                </c:pt>
                <c:pt idx="8">
                  <c:v>1118.3304817419687</c:v>
                </c:pt>
                <c:pt idx="9">
                  <c:v>407.51944632943946</c:v>
                </c:pt>
                <c:pt idx="10">
                  <c:v>797.51376326363459</c:v>
                </c:pt>
                <c:pt idx="11">
                  <c:v>1097.7545416513522</c:v>
                </c:pt>
              </c:numCache>
            </c:numRef>
          </c:val>
          <c:extLst>
            <c:ext xmlns:c16="http://schemas.microsoft.com/office/drawing/2014/chart" uri="{C3380CC4-5D6E-409C-BE32-E72D297353CC}">
              <c16:uniqueId val="{00000001-7A9E-42C3-8E46-9A55FB3BE946}"/>
            </c:ext>
          </c:extLst>
        </c:ser>
        <c:dLbls>
          <c:dLblPos val="inBase"/>
          <c:showLegendKey val="0"/>
          <c:showVal val="1"/>
          <c:showCatName val="0"/>
          <c:showSerName val="0"/>
          <c:showPercent val="0"/>
          <c:showBubbleSize val="0"/>
        </c:dLbls>
        <c:gapWidth val="75"/>
        <c:axId val="683566632"/>
        <c:axId val="683551736"/>
      </c:barChart>
      <c:valAx>
        <c:axId val="683551736"/>
        <c:scaling>
          <c:orientation val="minMax"/>
          <c:min val="0"/>
        </c:scaling>
        <c:delete val="1"/>
        <c:axPos val="r"/>
        <c:numFmt formatCode="#,##0.00" sourceLinked="1"/>
        <c:majorTickMark val="out"/>
        <c:minorTickMark val="none"/>
        <c:tickLblPos val="nextTo"/>
        <c:crossAx val="683566632"/>
        <c:crosses val="max"/>
        <c:crossBetween val="between"/>
      </c:valAx>
      <c:catAx>
        <c:axId val="68356663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51736"/>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3" val="0"/>
</file>

<file path=xl/ctrlProps/ctrlProp10.xml><?xml version="1.0" encoding="utf-8"?>
<formControlPr xmlns="http://schemas.microsoft.com/office/spreadsheetml/2009/9/main" objectType="Drop" dropStyle="combo" dx="20" fmlaLink="FOCUSYEAR.no" fmlaRange="FOCUSYEAR.choices" noThreeD="1" sel="12" val="0"/>
</file>

<file path=xl/ctrlProps/ctrlProp11.xml><?xml version="1.0" encoding="utf-8"?>
<formControlPr xmlns="http://schemas.microsoft.com/office/spreadsheetml/2009/9/main" objectType="Drop" dropLines="2" dropStyle="combo" dx="20" fmlaLink="INDEX.no" fmlaRange="REP.YN" noThreeD="1" sel="1"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1" val="0"/>
</file>

<file path=xl/ctrlProps/ctrlProp15.xml><?xml version="1.0" encoding="utf-8"?>
<formControlPr xmlns="http://schemas.microsoft.com/office/spreadsheetml/2009/9/main" objectType="Drop" dropStyle="combo" dx="20" fmlaLink="CHARTYEAR.no" fmlaRange="FOCUSYEAR.choices" noThreeD="1" sel="12" val="0"/>
</file>

<file path=xl/ctrlProps/ctrlProp16.xml><?xml version="1.0" encoding="utf-8"?>
<formControlPr xmlns="http://schemas.microsoft.com/office/spreadsheetml/2009/9/main" objectType="Drop" dropLines="2" dropStyle="combo" dx="20" fmlaLink="INDEX.no" fmlaRange="REP.YN" noThreeD="1" sel="1" val="0"/>
</file>

<file path=xl/ctrlProps/ctrlProp17.xml><?xml version="1.0" encoding="utf-8"?>
<formControlPr xmlns="http://schemas.microsoft.com/office/spreadsheetml/2009/9/main" objectType="Drop" dropStyle="combo" dx="20" fmlaLink="CHARTYEAR.no" fmlaRange="FOCUSYEAR.choices" noThreeD="1" sel="12"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1"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1" val="0"/>
</file>

<file path=xl/ctrlProps/ctrlProp28.xml><?xml version="1.0" encoding="utf-8"?>
<formControlPr xmlns="http://schemas.microsoft.com/office/spreadsheetml/2009/9/main" objectType="Drop" dropStyle="combo" dx="20" fmlaLink="CHARTYEAR.no" fmlaRange="FOCUSYEAR.choices" noThreeD="1" sel="12"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11" val="0"/>
</file>

<file path=xl/ctrlProps/ctrlProp30.xml><?xml version="1.0" encoding="utf-8"?>
<formControlPr xmlns="http://schemas.microsoft.com/office/spreadsheetml/2009/9/main" objectType="Drop" dropLines="2" dropStyle="combo" dx="20" fmlaLink="INDEX.no" fmlaRange="REP.YN" noThreeD="1" sel="1" val="0"/>
</file>

<file path=xl/ctrlProps/ctrlProp31.xml><?xml version="1.0" encoding="utf-8"?>
<formControlPr xmlns="http://schemas.microsoft.com/office/spreadsheetml/2009/9/main" objectType="Drop" dropStyle="combo" dx="20" fmlaLink="CHARTYEAR.no" fmlaRange="FOCUSYEAR.choices" noThreeD="1" sel="12" val="0"/>
</file>

<file path=xl/ctrlProps/ctrlProp4.xml><?xml version="1.0" encoding="utf-8"?>
<formControlPr xmlns="http://schemas.microsoft.com/office/spreadsheetml/2009/9/main" objectType="Drop" dropLines="2" dropStyle="combo" dx="20" fmlaLink="INDEX.no" fmlaRange="REP.YN" noThreeD="1" sel="1" val="0"/>
</file>

<file path=xl/ctrlProps/ctrlProp5.xml><?xml version="1.0" encoding="utf-8"?>
<formControlPr xmlns="http://schemas.microsoft.com/office/spreadsheetml/2009/9/main" objectType="Drop" dropStyle="combo" dx="20" fmlaLink="FOCUSYEAR.no" fmlaRange="REP.yearsrange" noThreeD="1" sel="12"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11" val="4"/>
</file>

<file path=xl/ctrlProps/ctrlProp9.xml><?xml version="1.0" encoding="utf-8"?>
<formControlPr xmlns="http://schemas.microsoft.com/office/spreadsheetml/2009/9/main" objectType="Drop" dropLines="2" dropStyle="combo" dx="20" fmlaLink="INDEX.no" fmlaRange="REP.YN" noThreeD="1" sel="1"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2.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emf"/><Relationship Id="rId18" Type="http://schemas.openxmlformats.org/officeDocument/2006/relationships/image" Target="../media/image77.png"/><Relationship Id="rId3" Type="http://schemas.openxmlformats.org/officeDocument/2006/relationships/image" Target="../media/image2.WMF"/><Relationship Id="rId7" Type="http://schemas.openxmlformats.org/officeDocument/2006/relationships/image" Target="../media/image66.emf"/><Relationship Id="rId12" Type="http://schemas.openxmlformats.org/officeDocument/2006/relationships/image" Target="../media/image71.emf"/><Relationship Id="rId17" Type="http://schemas.openxmlformats.org/officeDocument/2006/relationships/image" Target="../media/image76.jpg"/><Relationship Id="rId2" Type="http://schemas.openxmlformats.org/officeDocument/2006/relationships/hyperlink" Target="#HOME!E6"/><Relationship Id="rId16" Type="http://schemas.openxmlformats.org/officeDocument/2006/relationships/image" Target="../media/image75.emf"/><Relationship Id="rId1" Type="http://schemas.openxmlformats.org/officeDocument/2006/relationships/image" Target="../media/image1.jpeg"/><Relationship Id="rId6" Type="http://schemas.openxmlformats.org/officeDocument/2006/relationships/image" Target="../media/image65.emf"/><Relationship Id="rId11" Type="http://schemas.openxmlformats.org/officeDocument/2006/relationships/image" Target="../media/image70.png"/><Relationship Id="rId5" Type="http://schemas.openxmlformats.org/officeDocument/2006/relationships/image" Target="../media/image64.emf"/><Relationship Id="rId15" Type="http://schemas.openxmlformats.org/officeDocument/2006/relationships/image" Target="../media/image74.png"/><Relationship Id="rId10" Type="http://schemas.openxmlformats.org/officeDocument/2006/relationships/image" Target="../media/image69.emf"/><Relationship Id="rId4" Type="http://schemas.openxmlformats.org/officeDocument/2006/relationships/image" Target="../media/image63.emf"/><Relationship Id="rId9" Type="http://schemas.openxmlformats.org/officeDocument/2006/relationships/image" Target="../media/image68.emf"/><Relationship Id="rId14" Type="http://schemas.openxmlformats.org/officeDocument/2006/relationships/image" Target="../media/image73.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png"/><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png"/><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 Id="rId8" Type="http://schemas.openxmlformats.org/officeDocument/2006/relationships/hyperlink" Target="#'VISITOR DAYS'!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chart" Target="../charts/chart21.xml"/><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0.xml"/><Relationship Id="rId2" Type="http://schemas.openxmlformats.org/officeDocument/2006/relationships/hyperlink" Target="#HOME!E6"/><Relationship Id="rId16" Type="http://schemas.openxmlformats.org/officeDocument/2006/relationships/image" Target="../media/image51.emf"/><Relationship Id="rId20" Type="http://schemas.openxmlformats.org/officeDocument/2006/relationships/image" Target="../media/image53.emf"/><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png"/><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61.emf"/><Relationship Id="rId3" Type="http://schemas.openxmlformats.org/officeDocument/2006/relationships/image" Target="../media/image56.emf"/><Relationship Id="rId7" Type="http://schemas.openxmlformats.org/officeDocument/2006/relationships/image" Target="../media/image60.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emf"/><Relationship Id="rId5" Type="http://schemas.openxmlformats.org/officeDocument/2006/relationships/image" Target="../media/image58.emf"/><Relationship Id="rId4"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175260</xdr:rowOff>
        </xdr:to>
        <xdr:sp macro="" textlink="">
          <xdr:nvSpPr>
            <xdr:cNvPr id="389121" name="List Box 1" hidden="1">
              <a:extLst>
                <a:ext uri="{63B3BB69-23CF-44E3-9099-C40C66FF867C}">
                  <a14:compatExt spid="_x0000_s389121"/>
                </a:ext>
                <a:ext uri="{FF2B5EF4-FFF2-40B4-BE49-F238E27FC236}">
                  <a16:creationId xmlns:a16="http://schemas.microsoft.com/office/drawing/2014/main" id="{00000000-0008-0000-0100-000001F0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a:extLst>
            <a:ext uri="{FF2B5EF4-FFF2-40B4-BE49-F238E27FC236}">
              <a16:creationId xmlns:a16="http://schemas.microsoft.com/office/drawing/2014/main" id="{00000000-0008-0000-0A00-000002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A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A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A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a:extLst>
            <a:ext uri="{FF2B5EF4-FFF2-40B4-BE49-F238E27FC236}">
              <a16:creationId xmlns:a16="http://schemas.microsoft.com/office/drawing/2014/main" id="{00000000-0008-0000-0A00-000012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a:extLst>
            <a:ext uri="{FF2B5EF4-FFF2-40B4-BE49-F238E27FC236}">
              <a16:creationId xmlns:a16="http://schemas.microsoft.com/office/drawing/2014/main" id="{00000000-0008-0000-0A00-000013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a:extLst>
            <a:ext uri="{FF2B5EF4-FFF2-40B4-BE49-F238E27FC236}">
              <a16:creationId xmlns:a16="http://schemas.microsoft.com/office/drawing/2014/main" id="{00000000-0008-0000-0A00-000015000000}"/>
            </a:ext>
          </a:extLst>
        </xdr:cNvPr>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£M</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B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0B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8789" name="Drop Down 5" hidden="1">
              <a:extLst>
                <a:ext uri="{63B3BB69-23CF-44E3-9099-C40C66FF867C}">
                  <a14:compatExt spid="_x0000_s118789"/>
                </a:ext>
                <a:ext uri="{FF2B5EF4-FFF2-40B4-BE49-F238E27FC236}">
                  <a16:creationId xmlns:a16="http://schemas.microsoft.com/office/drawing/2014/main" id="{00000000-0008-0000-0B00-00000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B00-000010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a:extLst>
            <a:ext uri="{FF2B5EF4-FFF2-40B4-BE49-F238E27FC236}">
              <a16:creationId xmlns:a16="http://schemas.microsoft.com/office/drawing/2014/main" id="{00000000-0008-0000-0B00-000011000000}"/>
            </a:ext>
          </a:extLst>
        </xdr:cNvPr>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C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7764" name="Drop Down 4" hidden="1">
              <a:extLst>
                <a:ext uri="{63B3BB69-23CF-44E3-9099-C40C66FF867C}">
                  <a14:compatExt spid="_x0000_s117764"/>
                </a:ext>
                <a:ext uri="{FF2B5EF4-FFF2-40B4-BE49-F238E27FC236}">
                  <a16:creationId xmlns:a16="http://schemas.microsoft.com/office/drawing/2014/main" id="{00000000-0008-0000-0C00-000004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7766" name="Drop Down 6" hidden="1">
              <a:extLst>
                <a:ext uri="{63B3BB69-23CF-44E3-9099-C40C66FF867C}">
                  <a14:compatExt spid="_x0000_s117766"/>
                </a:ext>
                <a:ext uri="{FF2B5EF4-FFF2-40B4-BE49-F238E27FC236}">
                  <a16:creationId xmlns:a16="http://schemas.microsoft.com/office/drawing/2014/main" id="{00000000-0008-0000-0C00-000006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a:extLst>
            <a:ext uri="{FF2B5EF4-FFF2-40B4-BE49-F238E27FC236}">
              <a16:creationId xmlns:a16="http://schemas.microsoft.com/office/drawing/2014/main" id="{00000000-0008-0000-0C00-00000F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a:extLst>
            <a:ext uri="{FF2B5EF4-FFF2-40B4-BE49-F238E27FC236}">
              <a16:creationId xmlns:a16="http://schemas.microsoft.com/office/drawing/2014/main" id="{00000000-0008-0000-0C00-000011000000}"/>
            </a:ext>
          </a:extLst>
        </xdr:cNvPr>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D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19811" name="Drop Down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144780</xdr:colOff>
          <xdr:row>4</xdr:row>
          <xdr:rowOff>297180</xdr:rowOff>
        </xdr:to>
        <xdr:sp macro="" textlink="">
          <xdr:nvSpPr>
            <xdr:cNvPr id="119812" name="Drop Down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D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a:extLst>
            <a:ext uri="{FF2B5EF4-FFF2-40B4-BE49-F238E27FC236}">
              <a16:creationId xmlns:a16="http://schemas.microsoft.com/office/drawing/2014/main" id="{00000000-0008-0000-0D00-000012000000}"/>
            </a:ext>
          </a:extLst>
        </xdr:cNvPr>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a:extLst>
            <a:ext uri="{FF2B5EF4-FFF2-40B4-BE49-F238E27FC236}">
              <a16:creationId xmlns:a16="http://schemas.microsoft.com/office/drawing/2014/main" id="{00000000-0008-0000-0E00-000005000000}"/>
            </a:ext>
          </a:extLst>
        </xdr:cNvPr>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a:extLst>
            <a:ext uri="{FF2B5EF4-FFF2-40B4-BE49-F238E27FC236}">
              <a16:creationId xmlns:a16="http://schemas.microsoft.com/office/drawing/2014/main" id="{00000000-0008-0000-0E00-000007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229377" name="Drop Down 1" hidden="1">
              <a:extLst>
                <a:ext uri="{63B3BB69-23CF-44E3-9099-C40C66FF867C}">
                  <a14:compatExt spid="_x0000_s229377"/>
                </a:ext>
                <a:ext uri="{FF2B5EF4-FFF2-40B4-BE49-F238E27FC236}">
                  <a16:creationId xmlns:a16="http://schemas.microsoft.com/office/drawing/2014/main" id="{00000000-0008-0000-0E00-000001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E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E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a:extLst>
            <a:ext uri="{FF2B5EF4-FFF2-40B4-BE49-F238E27FC236}">
              <a16:creationId xmlns:a16="http://schemas.microsoft.com/office/drawing/2014/main" id="{00000000-0008-0000-0E00-00000E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229378" name="Drop Down 2" hidden="1">
              <a:extLst>
                <a:ext uri="{63B3BB69-23CF-44E3-9099-C40C66FF867C}">
                  <a14:compatExt spid="_x0000_s229378"/>
                </a:ext>
                <a:ext uri="{FF2B5EF4-FFF2-40B4-BE49-F238E27FC236}">
                  <a16:creationId xmlns:a16="http://schemas.microsoft.com/office/drawing/2014/main" id="{00000000-0008-0000-0E00-000002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F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a:extLst>
            <a:ext uri="{FF2B5EF4-FFF2-40B4-BE49-F238E27FC236}">
              <a16:creationId xmlns:a16="http://schemas.microsoft.com/office/drawing/2014/main" id="{00000000-0008-0000-0F00-00000A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26977" name="Drop Down 1" hidden="1">
              <a:extLst>
                <a:ext uri="{63B3BB69-23CF-44E3-9099-C40C66FF867C}">
                  <a14:compatExt spid="_x0000_s126977"/>
                </a:ext>
                <a:ext uri="{FF2B5EF4-FFF2-40B4-BE49-F238E27FC236}">
                  <a16:creationId xmlns:a16="http://schemas.microsoft.com/office/drawing/2014/main" id="{00000000-0008-0000-0F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a:extLst>
            <a:ext uri="{FF2B5EF4-FFF2-40B4-BE49-F238E27FC236}">
              <a16:creationId xmlns:a16="http://schemas.microsoft.com/office/drawing/2014/main" id="{00000000-0008-0000-0F00-00000E000000}"/>
            </a:ext>
          </a:extLst>
        </xdr:cNvPr>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68580</xdr:colOff>
          <xdr:row>4</xdr:row>
          <xdr:rowOff>22860</xdr:rowOff>
        </xdr:from>
        <xdr:to>
          <xdr:col>17</xdr:col>
          <xdr:colOff>289560</xdr:colOff>
          <xdr:row>4</xdr:row>
          <xdr:rowOff>297180</xdr:rowOff>
        </xdr:to>
        <xdr:sp macro="" textlink="">
          <xdr:nvSpPr>
            <xdr:cNvPr id="126979" name="Drop Down 3" hidden="1">
              <a:extLst>
                <a:ext uri="{63B3BB69-23CF-44E3-9099-C40C66FF867C}">
                  <a14:compatExt spid="_x0000_s126979"/>
                </a:ext>
                <a:ext uri="{FF2B5EF4-FFF2-40B4-BE49-F238E27FC236}">
                  <a16:creationId xmlns:a16="http://schemas.microsoft.com/office/drawing/2014/main" id="{00000000-0008-0000-0F00-00000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7620</xdr:colOff>
          <xdr:row>4</xdr:row>
          <xdr:rowOff>22860</xdr:rowOff>
        </xdr:from>
        <xdr:to>
          <xdr:col>7</xdr:col>
          <xdr:colOff>220980</xdr:colOff>
          <xdr:row>4</xdr:row>
          <xdr:rowOff>297180</xdr:rowOff>
        </xdr:to>
        <xdr:sp macro="" textlink="">
          <xdr:nvSpPr>
            <xdr:cNvPr id="126980" name="Drop Down 4" hidden="1">
              <a:extLst>
                <a:ext uri="{63B3BB69-23CF-44E3-9099-C40C66FF867C}">
                  <a14:compatExt spid="_x0000_s126980"/>
                </a:ext>
                <a:ext uri="{FF2B5EF4-FFF2-40B4-BE49-F238E27FC236}">
                  <a16:creationId xmlns:a16="http://schemas.microsoft.com/office/drawing/2014/main" id="{00000000-0008-0000-0F00-00000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F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a:extLst>
            <a:ext uri="{FF2B5EF4-FFF2-40B4-BE49-F238E27FC236}">
              <a16:creationId xmlns:a16="http://schemas.microsoft.com/office/drawing/2014/main" id="{00000000-0008-0000-0F00-000006000000}"/>
            </a:ext>
          </a:extLst>
        </xdr:cNvPr>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(15.6%)</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a:extLst>
            <a:ext uri="{FF2B5EF4-FFF2-40B4-BE49-F238E27FC236}">
              <a16:creationId xmlns:a16="http://schemas.microsoft.com/office/drawing/2014/main" id="{00000000-0008-0000-0F00-000016000000}"/>
            </a:ext>
          </a:extLst>
        </xdr:cNvPr>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a:extLst>
            <a:ext uri="{FF2B5EF4-FFF2-40B4-BE49-F238E27FC236}">
              <a16:creationId xmlns:a16="http://schemas.microsoft.com/office/drawing/2014/main" id="{00000000-0008-0000-0F00-000017000000}"/>
            </a:ext>
          </a:extLst>
        </xdr:cNvPr>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2022</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a:extLst>
            <a:ext uri="{FF2B5EF4-FFF2-40B4-BE49-F238E27FC236}">
              <a16:creationId xmlns:a16="http://schemas.microsoft.com/office/drawing/2014/main" id="{00000000-0008-0000-0F00-000018000000}"/>
            </a:ext>
          </a:extLst>
        </xdr:cNvPr>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(14.2%)</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a:extLst>
            <a:ext uri="{FF2B5EF4-FFF2-40B4-BE49-F238E27FC236}">
              <a16:creationId xmlns:a16="http://schemas.microsoft.com/office/drawing/2014/main" id="{00000000-0008-0000-0F00-000019000000}"/>
            </a:ext>
          </a:extLst>
        </xdr:cNvPr>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(4.5%)</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a:extLst>
            <a:ext uri="{FF2B5EF4-FFF2-40B4-BE49-F238E27FC236}">
              <a16:creationId xmlns:a16="http://schemas.microsoft.com/office/drawing/2014/main" id="{00000000-0008-0000-0F00-00001A000000}"/>
            </a:ext>
          </a:extLst>
        </xdr:cNvPr>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(21.7%)</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a:extLst>
            <a:ext uri="{FF2B5EF4-FFF2-40B4-BE49-F238E27FC236}">
              <a16:creationId xmlns:a16="http://schemas.microsoft.com/office/drawing/2014/main" id="{00000000-0008-0000-0F00-00001B000000}"/>
            </a:ext>
          </a:extLst>
        </xdr:cNvPr>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(6.7%)</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a:extLst>
            <a:ext uri="{FF2B5EF4-FFF2-40B4-BE49-F238E27FC236}">
              <a16:creationId xmlns:a16="http://schemas.microsoft.com/office/drawing/2014/main" id="{00000000-0008-0000-0F00-00001C000000}"/>
            </a:ext>
          </a:extLst>
        </xdr:cNvPr>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(12.2%)</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a:extLst>
            <a:ext uri="{FF2B5EF4-FFF2-40B4-BE49-F238E27FC236}">
              <a16:creationId xmlns:a16="http://schemas.microsoft.com/office/drawing/2014/main" id="{00000000-0008-0000-0F00-00001D000000}"/>
            </a:ext>
          </a:extLst>
        </xdr:cNvPr>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(25.1%)</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a:extLst>
            <a:ext uri="{FF2B5EF4-FFF2-40B4-BE49-F238E27FC236}">
              <a16:creationId xmlns:a16="http://schemas.microsoft.com/office/drawing/2014/main" id="{00000000-0008-0000-0F00-00001E000000}"/>
            </a:ext>
          </a:extLst>
        </xdr:cNvPr>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£BN INCLUDING VAT INDEXED TO 2022</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a:extLst>
            <a:ext uri="{FF2B5EF4-FFF2-40B4-BE49-F238E27FC236}">
              <a16:creationId xmlns:a16="http://schemas.microsoft.com/office/drawing/2014/main" id="{00000000-0008-0000-0F00-000020000000}"/>
            </a:ext>
          </a:extLst>
        </xdr:cNvPr>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(23.8%)</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2022</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(26.3%)</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(19.8%)</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(20.6%)</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(6.0%)</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(3.5%)</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10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a:extLst>
            <a:ext uri="{FF2B5EF4-FFF2-40B4-BE49-F238E27FC236}">
              <a16:creationId xmlns:a16="http://schemas.microsoft.com/office/drawing/2014/main" id="{00000000-0008-0000-1000-000018000000}"/>
            </a:ext>
          </a:extLst>
        </xdr:cNvPr>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a:extLst>
            <a:ext uri="{FF2B5EF4-FFF2-40B4-BE49-F238E27FC236}">
              <a16:creationId xmlns:a16="http://schemas.microsoft.com/office/drawing/2014/main" id="{00000000-0008-0000-1000-000019000000}"/>
            </a:ext>
          </a:extLst>
        </xdr:cNvPr>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1737360" y="1264920"/>
          <a:ext cx="10107300" cy="1272540"/>
          <a:chOff x="1531620" y="1264920"/>
          <a:chExt cx="9589140" cy="1272540"/>
        </a:xfrm>
      </xdr:grpSpPr>
      <xdr:grpSp>
        <xdr:nvGrpSpPr>
          <xdr:cNvPr id="6" name="Group 5">
            <a:extLst>
              <a:ext uri="{FF2B5EF4-FFF2-40B4-BE49-F238E27FC236}">
                <a16:creationId xmlns:a16="http://schemas.microsoft.com/office/drawing/2014/main" id="{00000000-0008-0000-1000-000006000000}"/>
              </a:ext>
            </a:extLst>
          </xdr:cNvPr>
          <xdr:cNvGrpSpPr/>
        </xdr:nvGrpSpPr>
        <xdr:grpSpPr>
          <a:xfrm>
            <a:off x="2766060" y="1264920"/>
            <a:ext cx="8354700" cy="1219200"/>
            <a:chOff x="6103620" y="1242060"/>
            <a:chExt cx="5040000" cy="1219200"/>
          </a:xfrm>
          <a:effectLst/>
        </xdr:grpSpPr>
        <xdr:sp macro="" textlink="REP.subzone">
          <xdr:nvSpPr>
            <xdr:cNvPr id="11" name="Rectangle 10">
              <a:extLst>
                <a:ext uri="{FF2B5EF4-FFF2-40B4-BE49-F238E27FC236}">
                  <a16:creationId xmlns:a16="http://schemas.microsoft.com/office/drawing/2014/main" id="{00000000-0008-0000-1000-00000B000000}"/>
                </a:ext>
              </a:extLst>
            </xdr:cNvPr>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a:extLst>
                <a:ext uri="{FF2B5EF4-FFF2-40B4-BE49-F238E27FC236}">
                  <a16:creationId xmlns:a16="http://schemas.microsoft.com/office/drawing/2014/main" id="{00000000-0008-0000-1000-00000C000000}"/>
                </a:ext>
              </a:extLst>
            </xdr:cNvPr>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a:extLst>
                <a:ext uri="{FF2B5EF4-FFF2-40B4-BE49-F238E27FC236}">
                  <a16:creationId xmlns:a16="http://schemas.microsoft.com/office/drawing/2014/main" id="{00000000-0008-0000-1000-00000A000000}"/>
                </a:ext>
              </a:extLst>
            </xdr:cNvPr>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CONWY COUNTY BOROUGH COUNCIL</a:t>
              </a:fld>
              <a:endParaRPr lang="en-GB" sz="1600" b="1">
                <a:solidFill>
                  <a:schemeClr val="bg1"/>
                </a:solidFill>
              </a:endParaRPr>
            </a:p>
          </xdr:txBody>
        </xdr:sp>
        <xdr:sp macro="" textlink="REP.title1">
          <xdr:nvSpPr>
            <xdr:cNvPr id="2" name="Rectangle 1">
              <a:extLst>
                <a:ext uri="{FF2B5EF4-FFF2-40B4-BE49-F238E27FC236}">
                  <a16:creationId xmlns:a16="http://schemas.microsoft.com/office/drawing/2014/main" id="{00000000-0008-0000-1000-000002000000}"/>
                </a:ext>
              </a:extLst>
            </xdr:cNvPr>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2011-2022</a:t>
              </a:fld>
              <a:endParaRPr lang="en-GB" sz="1600" b="1">
                <a:solidFill>
                  <a:schemeClr val="bg1"/>
                </a:solidFill>
              </a:endParaRPr>
            </a:p>
          </xdr:txBody>
        </xdr:sp>
      </xdr:grpSp>
      <xdr:sp macro="" textlink="">
        <xdr:nvSpPr>
          <xdr:cNvPr id="8" name="Rectangle 7">
            <a:extLst>
              <a:ext uri="{FF2B5EF4-FFF2-40B4-BE49-F238E27FC236}">
                <a16:creationId xmlns:a16="http://schemas.microsoft.com/office/drawing/2014/main" id="{00000000-0008-0000-1000-000008000000}"/>
              </a:ext>
            </a:extLst>
          </xdr:cNvPr>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11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11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11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11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a:extLst>
            <a:ext uri="{FF2B5EF4-FFF2-40B4-BE49-F238E27FC236}">
              <a16:creationId xmlns:a16="http://schemas.microsoft.com/office/drawing/2014/main" id="{00000000-0008-0000-1100-000019000000}"/>
            </a:ext>
          </a:extLst>
        </xdr:cNvPr>
        <xdr:cNvGrpSpPr/>
      </xdr:nvGrpSpPr>
      <xdr:grpSpPr>
        <a:xfrm>
          <a:off x="4057651" y="1699260"/>
          <a:ext cx="2533725" cy="1000125"/>
          <a:chOff x="1381126" y="1666875"/>
          <a:chExt cx="2390774" cy="971550"/>
        </a:xfrm>
      </xdr:grpSpPr>
      <xdr:sp macro="" textlink="">
        <xdr:nvSpPr>
          <xdr:cNvPr id="22" name="Rectangle 21">
            <a:extLst>
              <a:ext uri="{FF2B5EF4-FFF2-40B4-BE49-F238E27FC236}">
                <a16:creationId xmlns:a16="http://schemas.microsoft.com/office/drawing/2014/main" id="{00000000-0008-0000-1100-000016000000}"/>
              </a:ext>
            </a:extLst>
          </xdr:cNvPr>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a:extLst>
              <a:ext uri="{FF2B5EF4-FFF2-40B4-BE49-F238E27FC236}">
                <a16:creationId xmlns:a16="http://schemas.microsoft.com/office/drawing/2014/main" id="{00000000-0008-0000-1100-00001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6772276" y="1699260"/>
          <a:ext cx="2533725" cy="1000125"/>
          <a:chOff x="1381126" y="1666875"/>
          <a:chExt cx="2390774" cy="971550"/>
        </a:xfrm>
      </xdr:grpSpPr>
      <xdr:sp macro="" textlink="">
        <xdr:nvSpPr>
          <xdr:cNvPr id="27" name="Rectangle 26">
            <a:extLst>
              <a:ext uri="{FF2B5EF4-FFF2-40B4-BE49-F238E27FC236}">
                <a16:creationId xmlns:a16="http://schemas.microsoft.com/office/drawing/2014/main" id="{00000000-0008-0000-1100-00001B000000}"/>
              </a:ext>
            </a:extLst>
          </xdr:cNvPr>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a:extLst>
              <a:ext uri="{FF2B5EF4-FFF2-40B4-BE49-F238E27FC236}">
                <a16:creationId xmlns:a16="http://schemas.microsoft.com/office/drawing/2014/main" id="{00000000-0008-0000-1100-00001D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9515476" y="1699260"/>
          <a:ext cx="2533725" cy="1000125"/>
          <a:chOff x="1381126" y="1666875"/>
          <a:chExt cx="2390774" cy="971550"/>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a:extLst>
              <a:ext uri="{FF2B5EF4-FFF2-40B4-BE49-F238E27FC236}">
                <a16:creationId xmlns:a16="http://schemas.microsoft.com/office/drawing/2014/main" id="{00000000-0008-0000-1100-000021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a:extLst>
            <a:ext uri="{FF2B5EF4-FFF2-40B4-BE49-F238E27FC236}">
              <a16:creationId xmlns:a16="http://schemas.microsoft.com/office/drawing/2014/main" id="{00000000-0008-0000-1100-000048000000}"/>
            </a:ext>
          </a:extLst>
        </xdr:cNvPr>
        <xdr:cNvGrpSpPr/>
      </xdr:nvGrpSpPr>
      <xdr:grpSpPr>
        <a:xfrm>
          <a:off x="4057650" y="5234940"/>
          <a:ext cx="2533725" cy="1000125"/>
          <a:chOff x="1381126" y="1666875"/>
          <a:chExt cx="2390774" cy="971550"/>
        </a:xfrm>
      </xdr:grpSpPr>
      <xdr:sp macro="" textlink="">
        <xdr:nvSpPr>
          <xdr:cNvPr id="73" name="Rectangle 72">
            <a:extLst>
              <a:ext uri="{FF2B5EF4-FFF2-40B4-BE49-F238E27FC236}">
                <a16:creationId xmlns:a16="http://schemas.microsoft.com/office/drawing/2014/main" id="{00000000-0008-0000-1100-000049000000}"/>
              </a:ext>
            </a:extLst>
          </xdr:cNvPr>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a:extLst>
              <a:ext uri="{FF2B5EF4-FFF2-40B4-BE49-F238E27FC236}">
                <a16:creationId xmlns:a16="http://schemas.microsoft.com/office/drawing/2014/main" id="{00000000-0008-0000-1100-00004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a:extLst>
            <a:ext uri="{FF2B5EF4-FFF2-40B4-BE49-F238E27FC236}">
              <a16:creationId xmlns:a16="http://schemas.microsoft.com/office/drawing/2014/main" id="{00000000-0008-0000-1100-000058000000}"/>
            </a:ext>
          </a:extLst>
        </xdr:cNvPr>
        <xdr:cNvGrpSpPr/>
      </xdr:nvGrpSpPr>
      <xdr:grpSpPr>
        <a:xfrm>
          <a:off x="1360171" y="1699261"/>
          <a:ext cx="2508960" cy="1000125"/>
          <a:chOff x="1381126" y="1666875"/>
          <a:chExt cx="2390774" cy="971550"/>
        </a:xfrm>
      </xdr:grpSpPr>
      <xdr:sp macro="" textlink="">
        <xdr:nvSpPr>
          <xdr:cNvPr id="89" name="Rectangle 88">
            <a:extLst>
              <a:ext uri="{FF2B5EF4-FFF2-40B4-BE49-F238E27FC236}">
                <a16:creationId xmlns:a16="http://schemas.microsoft.com/office/drawing/2014/main" id="{00000000-0008-0000-1100-000059000000}"/>
              </a:ext>
            </a:extLst>
          </xdr:cNvPr>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a:extLst>
              <a:ext uri="{FF2B5EF4-FFF2-40B4-BE49-F238E27FC236}">
                <a16:creationId xmlns:a16="http://schemas.microsoft.com/office/drawing/2014/main" id="{00000000-0008-0000-1100-00005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a:extLst>
              <a:ext uri="{FF2B5EF4-FFF2-40B4-BE49-F238E27FC236}">
                <a16:creationId xmlns:a16="http://schemas.microsoft.com/office/drawing/2014/main" id="{00000000-0008-0000-1100-00005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a:extLst>
            <a:ext uri="{FF2B5EF4-FFF2-40B4-BE49-F238E27FC236}">
              <a16:creationId xmlns:a16="http://schemas.microsoft.com/office/drawing/2014/main" id="{00000000-0008-0000-1100-00005C000000}"/>
            </a:ext>
          </a:extLst>
        </xdr:cNvPr>
        <xdr:cNvGrpSpPr/>
      </xdr:nvGrpSpPr>
      <xdr:grpSpPr>
        <a:xfrm>
          <a:off x="6762750" y="2876550"/>
          <a:ext cx="2533725" cy="994410"/>
          <a:chOff x="1381126" y="1666875"/>
          <a:chExt cx="2390774" cy="971550"/>
        </a:xfrm>
      </xdr:grpSpPr>
      <xdr:sp macro="" textlink="">
        <xdr:nvSpPr>
          <xdr:cNvPr id="93" name="Rectangle 92">
            <a:extLst>
              <a:ext uri="{FF2B5EF4-FFF2-40B4-BE49-F238E27FC236}">
                <a16:creationId xmlns:a16="http://schemas.microsoft.com/office/drawing/2014/main" id="{00000000-0008-0000-1100-00005D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a:extLst>
              <a:ext uri="{FF2B5EF4-FFF2-40B4-BE49-F238E27FC236}">
                <a16:creationId xmlns:a16="http://schemas.microsoft.com/office/drawing/2014/main" id="{00000000-0008-0000-1100-00005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a:extLst>
            <a:ext uri="{FF2B5EF4-FFF2-40B4-BE49-F238E27FC236}">
              <a16:creationId xmlns:a16="http://schemas.microsoft.com/office/drawing/2014/main" id="{00000000-0008-0000-1100-000060000000}"/>
            </a:ext>
          </a:extLst>
        </xdr:cNvPr>
        <xdr:cNvGrpSpPr/>
      </xdr:nvGrpSpPr>
      <xdr:grpSpPr>
        <a:xfrm>
          <a:off x="9505950" y="2876550"/>
          <a:ext cx="2533725" cy="994410"/>
          <a:chOff x="1381126" y="1666875"/>
          <a:chExt cx="2390774" cy="971550"/>
        </a:xfrm>
      </xdr:grpSpPr>
      <xdr:sp macro="" textlink="">
        <xdr:nvSpPr>
          <xdr:cNvPr id="97" name="Rectangle 96">
            <a:extLst>
              <a:ext uri="{FF2B5EF4-FFF2-40B4-BE49-F238E27FC236}">
                <a16:creationId xmlns:a16="http://schemas.microsoft.com/office/drawing/2014/main" id="{00000000-0008-0000-1100-000061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a:extLst>
              <a:ext uri="{FF2B5EF4-FFF2-40B4-BE49-F238E27FC236}">
                <a16:creationId xmlns:a16="http://schemas.microsoft.com/office/drawing/2014/main" id="{00000000-0008-0000-1100-00006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a:extLst>
              <a:ext uri="{FF2B5EF4-FFF2-40B4-BE49-F238E27FC236}">
                <a16:creationId xmlns:a16="http://schemas.microsoft.com/office/drawing/2014/main" id="{00000000-0008-0000-1100-00006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a:extLst>
            <a:ext uri="{FF2B5EF4-FFF2-40B4-BE49-F238E27FC236}">
              <a16:creationId xmlns:a16="http://schemas.microsoft.com/office/drawing/2014/main" id="{00000000-0008-0000-1100-000068000000}"/>
            </a:ext>
          </a:extLst>
        </xdr:cNvPr>
        <xdr:cNvGrpSpPr/>
      </xdr:nvGrpSpPr>
      <xdr:grpSpPr>
        <a:xfrm>
          <a:off x="4057650" y="2876551"/>
          <a:ext cx="2533725" cy="994410"/>
          <a:chOff x="1381126" y="1666875"/>
          <a:chExt cx="2390774" cy="971550"/>
        </a:xfrm>
      </xdr:grpSpPr>
      <xdr:sp macro="" textlink="">
        <xdr:nvSpPr>
          <xdr:cNvPr id="105" name="Rectangle 104">
            <a:extLst>
              <a:ext uri="{FF2B5EF4-FFF2-40B4-BE49-F238E27FC236}">
                <a16:creationId xmlns:a16="http://schemas.microsoft.com/office/drawing/2014/main" id="{00000000-0008-0000-1100-000069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a:extLst>
              <a:ext uri="{FF2B5EF4-FFF2-40B4-BE49-F238E27FC236}">
                <a16:creationId xmlns:a16="http://schemas.microsoft.com/office/drawing/2014/main" id="{00000000-0008-0000-1100-00006A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a:extLst>
              <a:ext uri="{FF2B5EF4-FFF2-40B4-BE49-F238E27FC236}">
                <a16:creationId xmlns:a16="http://schemas.microsoft.com/office/drawing/2014/main" id="{00000000-0008-0000-1100-00006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a:extLst>
            <a:ext uri="{FF2B5EF4-FFF2-40B4-BE49-F238E27FC236}">
              <a16:creationId xmlns:a16="http://schemas.microsoft.com/office/drawing/2014/main" id="{00000000-0008-0000-1100-00006C000000}"/>
            </a:ext>
          </a:extLst>
        </xdr:cNvPr>
        <xdr:cNvGrpSpPr/>
      </xdr:nvGrpSpPr>
      <xdr:grpSpPr>
        <a:xfrm>
          <a:off x="6762750" y="4029075"/>
          <a:ext cx="2533725" cy="1000125"/>
          <a:chOff x="1381126" y="1666875"/>
          <a:chExt cx="2390774" cy="971550"/>
        </a:xfrm>
      </xdr:grpSpPr>
      <xdr:sp macro="" textlink="">
        <xdr:nvSpPr>
          <xdr:cNvPr id="109" name="Rectangle 108">
            <a:extLst>
              <a:ext uri="{FF2B5EF4-FFF2-40B4-BE49-F238E27FC236}">
                <a16:creationId xmlns:a16="http://schemas.microsoft.com/office/drawing/2014/main" id="{00000000-0008-0000-1100-00006D000000}"/>
              </a:ext>
            </a:extLst>
          </xdr:cNvPr>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a:extLst>
              <a:ext uri="{FF2B5EF4-FFF2-40B4-BE49-F238E27FC236}">
                <a16:creationId xmlns:a16="http://schemas.microsoft.com/office/drawing/2014/main" id="{00000000-0008-0000-1100-00006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a:extLst>
            <a:ext uri="{FF2B5EF4-FFF2-40B4-BE49-F238E27FC236}">
              <a16:creationId xmlns:a16="http://schemas.microsoft.com/office/drawing/2014/main" id="{00000000-0008-0000-1100-000070000000}"/>
            </a:ext>
          </a:extLst>
        </xdr:cNvPr>
        <xdr:cNvGrpSpPr/>
      </xdr:nvGrpSpPr>
      <xdr:grpSpPr>
        <a:xfrm>
          <a:off x="4067175" y="4038600"/>
          <a:ext cx="2533725" cy="1000125"/>
          <a:chOff x="1381126" y="1666875"/>
          <a:chExt cx="2390774" cy="971550"/>
        </a:xfrm>
      </xdr:grpSpPr>
      <xdr:sp macro="" textlink="">
        <xdr:nvSpPr>
          <xdr:cNvPr id="113" name="Rectangle 112">
            <a:extLst>
              <a:ext uri="{FF2B5EF4-FFF2-40B4-BE49-F238E27FC236}">
                <a16:creationId xmlns:a16="http://schemas.microsoft.com/office/drawing/2014/main" id="{00000000-0008-0000-1100-000071000000}"/>
              </a:ext>
            </a:extLst>
          </xdr:cNvPr>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a:extLst>
              <a:ext uri="{FF2B5EF4-FFF2-40B4-BE49-F238E27FC236}">
                <a16:creationId xmlns:a16="http://schemas.microsoft.com/office/drawing/2014/main" id="{00000000-0008-0000-1100-00007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a:extLst>
            <a:ext uri="{FF2B5EF4-FFF2-40B4-BE49-F238E27FC236}">
              <a16:creationId xmlns:a16="http://schemas.microsoft.com/office/drawing/2014/main" id="{00000000-0008-0000-1100-000074000000}"/>
            </a:ext>
          </a:extLst>
        </xdr:cNvPr>
        <xdr:cNvGrpSpPr/>
      </xdr:nvGrpSpPr>
      <xdr:grpSpPr>
        <a:xfrm>
          <a:off x="9505950" y="4048125"/>
          <a:ext cx="2533725" cy="1000125"/>
          <a:chOff x="1381126" y="1666875"/>
          <a:chExt cx="2390774" cy="971550"/>
        </a:xfrm>
      </xdr:grpSpPr>
      <xdr:sp macro="" textlink="">
        <xdr:nvSpPr>
          <xdr:cNvPr id="117" name="Rectangle 116">
            <a:extLst>
              <a:ext uri="{FF2B5EF4-FFF2-40B4-BE49-F238E27FC236}">
                <a16:creationId xmlns:a16="http://schemas.microsoft.com/office/drawing/2014/main" id="{00000000-0008-0000-1100-000075000000}"/>
              </a:ext>
            </a:extLst>
          </xdr:cNvPr>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a:extLst>
              <a:ext uri="{FF2B5EF4-FFF2-40B4-BE49-F238E27FC236}">
                <a16:creationId xmlns:a16="http://schemas.microsoft.com/office/drawing/2014/main" id="{00000000-0008-0000-1100-000076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a:extLst>
              <a:ext uri="{FF2B5EF4-FFF2-40B4-BE49-F238E27FC236}">
                <a16:creationId xmlns:a16="http://schemas.microsoft.com/office/drawing/2014/main" id="{00000000-0008-0000-1100-000077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a:extLst>
            <a:ext uri="{FF2B5EF4-FFF2-40B4-BE49-F238E27FC236}">
              <a16:creationId xmlns:a16="http://schemas.microsoft.com/office/drawing/2014/main" id="{00000000-0008-0000-1100-000078000000}"/>
            </a:ext>
          </a:extLst>
        </xdr:cNvPr>
        <xdr:cNvGrpSpPr/>
      </xdr:nvGrpSpPr>
      <xdr:grpSpPr>
        <a:xfrm>
          <a:off x="1360170" y="4048126"/>
          <a:ext cx="2508960" cy="1000125"/>
          <a:chOff x="1381126" y="1666875"/>
          <a:chExt cx="2390774" cy="971550"/>
        </a:xfrm>
      </xdr:grpSpPr>
      <xdr:sp macro="" textlink="">
        <xdr:nvSpPr>
          <xdr:cNvPr id="121" name="Rectangle 120">
            <a:extLst>
              <a:ext uri="{FF2B5EF4-FFF2-40B4-BE49-F238E27FC236}">
                <a16:creationId xmlns:a16="http://schemas.microsoft.com/office/drawing/2014/main" id="{00000000-0008-0000-1100-000079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a:extLst>
              <a:ext uri="{FF2B5EF4-FFF2-40B4-BE49-F238E27FC236}">
                <a16:creationId xmlns:a16="http://schemas.microsoft.com/office/drawing/2014/main" id="{00000000-0008-0000-1100-00007A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a:extLst>
              <a:ext uri="{FF2B5EF4-FFF2-40B4-BE49-F238E27FC236}">
                <a16:creationId xmlns:a16="http://schemas.microsoft.com/office/drawing/2014/main" id="{00000000-0008-0000-1100-00007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a:extLst>
            <a:ext uri="{FF2B5EF4-FFF2-40B4-BE49-F238E27FC236}">
              <a16:creationId xmlns:a16="http://schemas.microsoft.com/office/drawing/2014/main" id="{00000000-0008-0000-1100-000080000000}"/>
            </a:ext>
          </a:extLst>
        </xdr:cNvPr>
        <xdr:cNvGrpSpPr/>
      </xdr:nvGrpSpPr>
      <xdr:grpSpPr>
        <a:xfrm>
          <a:off x="9477375" y="5253990"/>
          <a:ext cx="2533725" cy="1000125"/>
          <a:chOff x="1381126" y="1666875"/>
          <a:chExt cx="2390774" cy="971550"/>
        </a:xfrm>
      </xdr:grpSpPr>
      <xdr:sp macro="" textlink="">
        <xdr:nvSpPr>
          <xdr:cNvPr id="129" name="Rectangle 128">
            <a:extLst>
              <a:ext uri="{FF2B5EF4-FFF2-40B4-BE49-F238E27FC236}">
                <a16:creationId xmlns:a16="http://schemas.microsoft.com/office/drawing/2014/main" id="{00000000-0008-0000-1100-000081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a:extLst>
              <a:ext uri="{FF2B5EF4-FFF2-40B4-BE49-F238E27FC236}">
                <a16:creationId xmlns:a16="http://schemas.microsoft.com/office/drawing/2014/main" id="{00000000-0008-0000-1100-000082000000}"/>
              </a:ext>
            </a:extLst>
          </xdr:cNvPr>
          <xdr:cNvPicPr>
            <a:picLocks noChangeAspect="1" noChangeArrowheads="1"/>
          </xdr:cNvPicPr>
        </xdr:nvPicPr>
        <xdr:blipFill rotWithShape="1">
          <a:blip xmlns:r="http://schemas.openxmlformats.org/officeDocument/2006/relationships" r:embed="rId5"/>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a:extLst>
              <a:ext uri="{FF2B5EF4-FFF2-40B4-BE49-F238E27FC236}">
                <a16:creationId xmlns:a16="http://schemas.microsoft.com/office/drawing/2014/main" id="{00000000-0008-0000-1100-00008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a:extLst>
            <a:ext uri="{FF2B5EF4-FFF2-40B4-BE49-F238E27FC236}">
              <a16:creationId xmlns:a16="http://schemas.microsoft.com/office/drawing/2014/main" id="{00000000-0008-0000-1100-000091000000}"/>
            </a:ext>
          </a:extLst>
        </xdr:cNvPr>
        <xdr:cNvGrpSpPr/>
      </xdr:nvGrpSpPr>
      <xdr:grpSpPr>
        <a:xfrm>
          <a:off x="1360170" y="2876550"/>
          <a:ext cx="2508960" cy="994410"/>
          <a:chOff x="1314450" y="2819400"/>
          <a:chExt cx="2448000" cy="971550"/>
        </a:xfrm>
        <a:effectLst/>
      </xdr:grpSpPr>
      <xdr:sp macro="" textlink="">
        <xdr:nvSpPr>
          <xdr:cNvPr id="137" name="Down Arrow Callout 136">
            <a:extLst>
              <a:ext uri="{FF2B5EF4-FFF2-40B4-BE49-F238E27FC236}">
                <a16:creationId xmlns:a16="http://schemas.microsoft.com/office/drawing/2014/main" id="{00000000-0008-0000-1100-000089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a:extLst>
              <a:ext uri="{FF2B5EF4-FFF2-40B4-BE49-F238E27FC236}">
                <a16:creationId xmlns:a16="http://schemas.microsoft.com/office/drawing/2014/main" id="{00000000-0008-0000-1100-00008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a:extLst>
            <a:ext uri="{FF2B5EF4-FFF2-40B4-BE49-F238E27FC236}">
              <a16:creationId xmlns:a16="http://schemas.microsoft.com/office/drawing/2014/main" id="{00000000-0008-0000-1100-000092000000}"/>
            </a:ext>
          </a:extLst>
        </xdr:cNvPr>
        <xdr:cNvGrpSpPr/>
      </xdr:nvGrpSpPr>
      <xdr:grpSpPr>
        <a:xfrm>
          <a:off x="6762750" y="5234940"/>
          <a:ext cx="2533725" cy="1000125"/>
          <a:chOff x="3924300" y="5114925"/>
          <a:chExt cx="2448000" cy="971550"/>
        </a:xfrm>
      </xdr:grpSpPr>
      <xdr:sp macro="" textlink="">
        <xdr:nvSpPr>
          <xdr:cNvPr id="143" name="Right Arrow Callout 142">
            <a:extLst>
              <a:ext uri="{FF2B5EF4-FFF2-40B4-BE49-F238E27FC236}">
                <a16:creationId xmlns:a16="http://schemas.microsoft.com/office/drawing/2014/main" id="{00000000-0008-0000-1100-00008F000000}"/>
              </a:ext>
            </a:extLst>
          </xdr:cNvPr>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a:extLst>
              <a:ext uri="{FF2B5EF4-FFF2-40B4-BE49-F238E27FC236}">
                <a16:creationId xmlns:a16="http://schemas.microsoft.com/office/drawing/2014/main" id="{00000000-0008-0000-1100-000090000000}"/>
              </a:ext>
            </a:extLst>
          </xdr:cNvPr>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a:extLst>
            <a:ext uri="{FF2B5EF4-FFF2-40B4-BE49-F238E27FC236}">
              <a16:creationId xmlns:a16="http://schemas.microsoft.com/office/drawing/2014/main" id="{00000000-0008-0000-1100-000095000000}"/>
            </a:ext>
          </a:extLst>
        </xdr:cNvPr>
        <xdr:cNvPicPr>
          <a:picLocks noChangeAspect="1" noChangeArrowheads="1"/>
        </xdr:cNvPicPr>
      </xdr:nvPicPr>
      <xdr:blipFill rotWithShape="1">
        <a:blip xmlns:r="http://schemas.openxmlformats.org/officeDocument/2006/relationships" r:embed="rId16"/>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a:extLst>
            <a:ext uri="{FF2B5EF4-FFF2-40B4-BE49-F238E27FC236}">
              <a16:creationId xmlns:a16="http://schemas.microsoft.com/office/drawing/2014/main" id="{00000000-0008-0000-1100-000093000000}"/>
            </a:ext>
          </a:extLst>
        </xdr:cNvPr>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a:extLst>
            <a:ext uri="{FF2B5EF4-FFF2-40B4-BE49-F238E27FC236}">
              <a16:creationId xmlns:a16="http://schemas.microsoft.com/office/drawing/2014/main" id="{00000000-0008-0000-1100-000097000000}"/>
            </a:ext>
          </a:extLst>
        </xdr:cNvPr>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a:extLst>
            <a:ext uri="{FF2B5EF4-FFF2-40B4-BE49-F238E27FC236}">
              <a16:creationId xmlns:a16="http://schemas.microsoft.com/office/drawing/2014/main" id="{00000000-0008-0000-1100-000046000000}"/>
            </a:ext>
          </a:extLst>
        </xdr:cNvPr>
        <xdr:cNvGrpSpPr/>
      </xdr:nvGrpSpPr>
      <xdr:grpSpPr>
        <a:xfrm>
          <a:off x="1360170" y="5244465"/>
          <a:ext cx="2508960" cy="1000125"/>
          <a:chOff x="1314450" y="2819400"/>
          <a:chExt cx="2448000" cy="971550"/>
        </a:xfrm>
        <a:solidFill>
          <a:schemeClr val="accent1">
            <a:lumMod val="50000"/>
          </a:schemeClr>
        </a:solidFill>
        <a:effectLst/>
      </xdr:grpSpPr>
      <xdr:sp macro="" textlink="">
        <xdr:nvSpPr>
          <xdr:cNvPr id="71" name="Down Arrow Callout 70">
            <a:extLst>
              <a:ext uri="{FF2B5EF4-FFF2-40B4-BE49-F238E27FC236}">
                <a16:creationId xmlns:a16="http://schemas.microsoft.com/office/drawing/2014/main" id="{00000000-0008-0000-1100-000047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a:extLst>
              <a:ext uri="{FF2B5EF4-FFF2-40B4-BE49-F238E27FC236}">
                <a16:creationId xmlns:a16="http://schemas.microsoft.com/office/drawing/2014/main" id="{00000000-0008-0000-1100-00004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a:extLst>
            <a:ext uri="{FF2B5EF4-FFF2-40B4-BE49-F238E27FC236}">
              <a16:creationId xmlns:a16="http://schemas.microsoft.com/office/drawing/2014/main" id="{00000000-0008-0000-1100-00007D000000}"/>
            </a:ext>
          </a:extLst>
        </xdr:cNvPr>
        <xdr:cNvGrpSpPr/>
      </xdr:nvGrpSpPr>
      <xdr:grpSpPr>
        <a:xfrm>
          <a:off x="4038600" y="6469380"/>
          <a:ext cx="2533725" cy="1000125"/>
          <a:chOff x="1381126" y="1666875"/>
          <a:chExt cx="2390774" cy="971550"/>
        </a:xfrm>
      </xdr:grpSpPr>
      <xdr:sp macro="" textlink="">
        <xdr:nvSpPr>
          <xdr:cNvPr id="126" name="Rectangle 125">
            <a:extLst>
              <a:ext uri="{FF2B5EF4-FFF2-40B4-BE49-F238E27FC236}">
                <a16:creationId xmlns:a16="http://schemas.microsoft.com/office/drawing/2014/main" id="{00000000-0008-0000-1100-00007E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a:extLst>
              <a:ext uri="{FF2B5EF4-FFF2-40B4-BE49-F238E27FC236}">
                <a16:creationId xmlns:a16="http://schemas.microsoft.com/office/drawing/2014/main" id="{00000000-0008-0000-1100-000084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a:extLst>
            <a:ext uri="{FF2B5EF4-FFF2-40B4-BE49-F238E27FC236}">
              <a16:creationId xmlns:a16="http://schemas.microsoft.com/office/drawing/2014/main" id="{00000000-0008-0000-1100-000085000000}"/>
            </a:ext>
          </a:extLst>
        </xdr:cNvPr>
        <xdr:cNvGrpSpPr/>
      </xdr:nvGrpSpPr>
      <xdr:grpSpPr>
        <a:xfrm>
          <a:off x="6753225" y="6469380"/>
          <a:ext cx="2533725" cy="1000125"/>
          <a:chOff x="1381126" y="1666875"/>
          <a:chExt cx="2390774" cy="971550"/>
        </a:xfrm>
      </xdr:grpSpPr>
      <xdr:sp macro="" textlink="">
        <xdr:nvSpPr>
          <xdr:cNvPr id="134" name="Rectangle 133">
            <a:extLst>
              <a:ext uri="{FF2B5EF4-FFF2-40B4-BE49-F238E27FC236}">
                <a16:creationId xmlns:a16="http://schemas.microsoft.com/office/drawing/2014/main" id="{00000000-0008-0000-1100-000086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a:extLst>
              <a:ext uri="{FF2B5EF4-FFF2-40B4-BE49-F238E27FC236}">
                <a16:creationId xmlns:a16="http://schemas.microsoft.com/office/drawing/2014/main" id="{00000000-0008-0000-1100-00008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a:extLst>
            <a:ext uri="{FF2B5EF4-FFF2-40B4-BE49-F238E27FC236}">
              <a16:creationId xmlns:a16="http://schemas.microsoft.com/office/drawing/2014/main" id="{00000000-0008-0000-1100-00008A000000}"/>
            </a:ext>
          </a:extLst>
        </xdr:cNvPr>
        <xdr:cNvGrpSpPr/>
      </xdr:nvGrpSpPr>
      <xdr:grpSpPr>
        <a:xfrm>
          <a:off x="9486900" y="6469380"/>
          <a:ext cx="2533725" cy="1000125"/>
          <a:chOff x="1381126" y="1666875"/>
          <a:chExt cx="2390774" cy="971550"/>
        </a:xfrm>
      </xdr:grpSpPr>
      <xdr:sp macro="" textlink="">
        <xdr:nvSpPr>
          <xdr:cNvPr id="139" name="Rectangle 138">
            <a:extLst>
              <a:ext uri="{FF2B5EF4-FFF2-40B4-BE49-F238E27FC236}">
                <a16:creationId xmlns:a16="http://schemas.microsoft.com/office/drawing/2014/main" id="{00000000-0008-0000-1100-00008B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a:extLst>
              <a:ext uri="{FF2B5EF4-FFF2-40B4-BE49-F238E27FC236}">
                <a16:creationId xmlns:a16="http://schemas.microsoft.com/office/drawing/2014/main" id="{00000000-0008-0000-1100-00008E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a:extLst>
            <a:ext uri="{FF2B5EF4-FFF2-40B4-BE49-F238E27FC236}">
              <a16:creationId xmlns:a16="http://schemas.microsoft.com/office/drawing/2014/main" id="{00000000-0008-0000-1100-000094000000}"/>
            </a:ext>
          </a:extLst>
        </xdr:cNvPr>
        <xdr:cNvGrpSpPr/>
      </xdr:nvGrpSpPr>
      <xdr:grpSpPr>
        <a:xfrm>
          <a:off x="1369695" y="6450331"/>
          <a:ext cx="2508960" cy="1000125"/>
          <a:chOff x="1381126" y="1666875"/>
          <a:chExt cx="2390774" cy="971550"/>
        </a:xfrm>
        <a:solidFill>
          <a:schemeClr val="bg1">
            <a:lumMod val="75000"/>
          </a:schemeClr>
        </a:solidFill>
      </xdr:grpSpPr>
      <xdr:sp macro="" textlink="">
        <xdr:nvSpPr>
          <xdr:cNvPr id="150" name="Rectangle 149">
            <a:extLst>
              <a:ext uri="{FF2B5EF4-FFF2-40B4-BE49-F238E27FC236}">
                <a16:creationId xmlns:a16="http://schemas.microsoft.com/office/drawing/2014/main" id="{00000000-0008-0000-1100-000096000000}"/>
              </a:ext>
            </a:extLst>
          </xdr:cNvPr>
          <xdr:cNvSpPr/>
        </xdr:nvSpPr>
        <xdr:spPr>
          <a:xfrm>
            <a:off x="1381126" y="1666875"/>
            <a:ext cx="2390774" cy="9715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STEAM OVERVIEW</a:t>
            </a:r>
          </a:p>
        </xdr:txBody>
      </xdr:sp>
      <xdr:sp macro="" textlink="">
        <xdr:nvSpPr>
          <xdr:cNvPr id="153" name="Rectangle 152">
            <a:extLst>
              <a:ext uri="{FF2B5EF4-FFF2-40B4-BE49-F238E27FC236}">
                <a16:creationId xmlns:a16="http://schemas.microsoft.com/office/drawing/2014/main" id="{00000000-0008-0000-1100-000099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lumMod val="50000"/>
                  </a:schemeClr>
                </a:solidFill>
              </a:rPr>
              <a:t>A-1</a:t>
            </a:r>
          </a:p>
        </xdr:txBody>
      </xdr:sp>
    </xdr:grpSp>
    <xdr:clientData/>
  </xdr:twoCellAnchor>
  <xdr:twoCellAnchor>
    <xdr:from>
      <xdr:col>4</xdr:col>
      <xdr:colOff>542925</xdr:colOff>
      <xdr:row>32</xdr:row>
      <xdr:rowOff>58382</xdr:rowOff>
    </xdr:from>
    <xdr:to>
      <xdr:col>4</xdr:col>
      <xdr:colOff>809625</xdr:colOff>
      <xdr:row>34</xdr:row>
      <xdr:rowOff>9253</xdr:rowOff>
    </xdr:to>
    <xdr:pic>
      <xdr:nvPicPr>
        <xdr:cNvPr id="155" name="Picture 154">
          <a:extLst>
            <a:ext uri="{FF2B5EF4-FFF2-40B4-BE49-F238E27FC236}">
              <a16:creationId xmlns:a16="http://schemas.microsoft.com/office/drawing/2014/main" id="{00000000-0008-0000-11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38325" y="6659207"/>
          <a:ext cx="266700" cy="350921"/>
        </a:xfrm>
        <a:prstGeom prst="roundRect">
          <a:avLst>
            <a:gd name="adj" fmla="val 8594"/>
          </a:avLst>
        </a:prstGeom>
        <a:solidFill>
          <a:srgbClr val="FFFFFF">
            <a:shade val="85000"/>
          </a:srgbClr>
        </a:solidFill>
        <a:ln>
          <a:noFill/>
        </a:ln>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a:extLst>
            <a:ext uri="{FF2B5EF4-FFF2-40B4-BE49-F238E27FC236}">
              <a16:creationId xmlns:a16="http://schemas.microsoft.com/office/drawing/2014/main" id="{00000000-0008-0000-1100-000009000000}"/>
            </a:ext>
          </a:extLst>
        </xdr:cNvPr>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314325</xdr:colOff>
      <xdr:row>24</xdr:row>
      <xdr:rowOff>19049</xdr:rowOff>
    </xdr:from>
    <xdr:to>
      <xdr:col>7</xdr:col>
      <xdr:colOff>419100</xdr:colOff>
      <xdr:row>36</xdr:row>
      <xdr:rowOff>28574</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8"/>
        <a:stretch>
          <a:fillRect/>
        </a:stretch>
      </xdr:blipFill>
      <xdr:spPr>
        <a:xfrm>
          <a:off x="1285875" y="5019674"/>
          <a:ext cx="2562225"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2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2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02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3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3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4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25953" name="Drop Down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22860</xdr:rowOff>
        </xdr:from>
        <xdr:to>
          <xdr:col>8</xdr:col>
          <xdr:colOff>137160</xdr:colOff>
          <xdr:row>4</xdr:row>
          <xdr:rowOff>297180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a:extLst>
            <a:ext uri="{FF2B5EF4-FFF2-40B4-BE49-F238E27FC236}">
              <a16:creationId xmlns:a16="http://schemas.microsoft.com/office/drawing/2014/main" id="{00000000-0008-0000-0400-000014000000}"/>
            </a:ext>
          </a:extLst>
        </xdr:cNvPr>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601980</xdr:colOff>
          <xdr:row>4</xdr:row>
          <xdr:rowOff>22860</xdr:rowOff>
        </xdr:from>
        <xdr:to>
          <xdr:col>4</xdr:col>
          <xdr:colOff>1318260</xdr:colOff>
          <xdr:row>4</xdr:row>
          <xdr:rowOff>297180</xdr:rowOff>
        </xdr:to>
        <xdr:sp macro="" textlink="">
          <xdr:nvSpPr>
            <xdr:cNvPr id="125956" name="Drop Down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a:extLst>
            <a:ext uri="{FF2B5EF4-FFF2-40B4-BE49-F238E27FC236}">
              <a16:creationId xmlns:a16="http://schemas.microsoft.com/office/drawing/2014/main" id="{00000000-0008-0000-0400-000015000000}"/>
            </a:ext>
          </a:extLst>
        </xdr:cNvPr>
        <xdr:cNvGrpSpPr/>
      </xdr:nvGrpSpPr>
      <xdr:grpSpPr>
        <a:xfrm>
          <a:off x="1447798" y="2125980"/>
          <a:ext cx="1908000" cy="2076233"/>
          <a:chOff x="1402078" y="1684020"/>
          <a:chExt cx="1980002" cy="2076233"/>
        </a:xfrm>
      </xdr:grpSpPr>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a:extLs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COMPARATIVE HEADLINES'!$E$6:$X$36" spid="_x0000_s126826"/>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a:extLst>
            <a:ext uri="{FF2B5EF4-FFF2-40B4-BE49-F238E27FC236}">
              <a16:creationId xmlns:a16="http://schemas.microsoft.com/office/drawing/2014/main" id="{00000000-0008-0000-0400-00000E000000}"/>
            </a:ext>
          </a:extLst>
        </xdr:cNvPr>
        <xdr:cNvGrpSpPr/>
      </xdr:nvGrpSpPr>
      <xdr:grpSpPr>
        <a:xfrm>
          <a:off x="3467100" y="2116455"/>
          <a:ext cx="2029920" cy="2076233"/>
          <a:chOff x="3421380" y="1684020"/>
          <a:chExt cx="1980002" cy="2076233"/>
        </a:xfrm>
      </xdr:grpSpPr>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ECONOMIC IMPACT'!$E$6:$X$35" spid="_x0000_s126827"/>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a:extLst>
            <a:ext uri="{FF2B5EF4-FFF2-40B4-BE49-F238E27FC236}">
              <a16:creationId xmlns:a16="http://schemas.microsoft.com/office/drawing/2014/main" id="{00000000-0008-0000-0400-000034000000}"/>
            </a:ext>
          </a:extLst>
        </xdr:cNvPr>
        <xdr:cNvGrpSpPr/>
      </xdr:nvGrpSpPr>
      <xdr:grpSpPr>
        <a:xfrm>
          <a:off x="7795260" y="2118360"/>
          <a:ext cx="2029920" cy="2076233"/>
          <a:chOff x="7475220" y="1676400"/>
          <a:chExt cx="1980002" cy="2076233"/>
        </a:xfrm>
      </xdr:grpSpPr>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a:extLst>
                  <a:ext uri="{FF2B5EF4-FFF2-40B4-BE49-F238E27FC236}">
                    <a16:creationId xmlns:a16="http://schemas.microsoft.com/office/drawing/2014/main" id="{00000000-0008-0000-0400-00002F000000}"/>
                  </a:ext>
                </a:extLst>
              </xdr:cNvPr>
              <xdr:cNvPicPr>
                <a:picLocks noChangeAspect="1" noChangeArrowheads="1"/>
                <a:extLst>
                  <a:ext uri="{84589F7E-364E-4C9E-8A38-B11213B215E9}">
                    <a14:cameraTool cellRange="'VISITOR DAYS'!$E$6:$X$35" spid="_x0000_s126828"/>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a:extLst>
            <a:ext uri="{FF2B5EF4-FFF2-40B4-BE49-F238E27FC236}">
              <a16:creationId xmlns:a16="http://schemas.microsoft.com/office/drawing/2014/main" id="{00000000-0008-0000-0400-000022000000}"/>
            </a:ext>
          </a:extLst>
        </xdr:cNvPr>
        <xdr:cNvGrpSpPr/>
      </xdr:nvGrpSpPr>
      <xdr:grpSpPr>
        <a:xfrm>
          <a:off x="5646420" y="2125979"/>
          <a:ext cx="2029920" cy="2076232"/>
          <a:chOff x="5448300" y="1684020"/>
          <a:chExt cx="1980002" cy="2076233"/>
        </a:xfrm>
      </xdr:grpSpPr>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VISITOR NUMBERS'!$E$6:$X$35" spid="_x0000_s126829"/>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a:extLst>
            <a:ext uri="{FF2B5EF4-FFF2-40B4-BE49-F238E27FC236}">
              <a16:creationId xmlns:a16="http://schemas.microsoft.com/office/drawing/2014/main" id="{00000000-0008-0000-0400-000035000000}"/>
            </a:ext>
          </a:extLst>
        </xdr:cNvPr>
        <xdr:cNvGrpSpPr/>
      </xdr:nvGrpSpPr>
      <xdr:grpSpPr>
        <a:xfrm>
          <a:off x="9936478" y="2118360"/>
          <a:ext cx="2037540" cy="2076233"/>
          <a:chOff x="9494232" y="1676400"/>
          <a:chExt cx="1987910" cy="2076233"/>
        </a:xfrm>
      </xdr:grpSpPr>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EMPLOYMENT!$E$6:$X$35" spid="_x0000_s126830"/>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a:extLst>
            <a:ext uri="{FF2B5EF4-FFF2-40B4-BE49-F238E27FC236}">
              <a16:creationId xmlns:a16="http://schemas.microsoft.com/office/drawing/2014/main" id="{00000000-0008-0000-0400-00003A000000}"/>
            </a:ext>
          </a:extLst>
        </xdr:cNvPr>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a:extLst>
            <a:ext uri="{FF2B5EF4-FFF2-40B4-BE49-F238E27FC236}">
              <a16:creationId xmlns:a16="http://schemas.microsoft.com/office/drawing/2014/main" id="{00000000-0008-0000-0400-000036000000}"/>
            </a:ext>
          </a:extLst>
        </xdr:cNvPr>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a:extLst>
            <a:ext uri="{FF2B5EF4-FFF2-40B4-BE49-F238E27FC236}">
              <a16:creationId xmlns:a16="http://schemas.microsoft.com/office/drawing/2014/main" id="{00000000-0008-0000-0400-000007000000}"/>
            </a:ext>
          </a:extLst>
        </xdr:cNvPr>
        <xdr:cNvGrpSpPr/>
      </xdr:nvGrpSpPr>
      <xdr:grpSpPr>
        <a:xfrm>
          <a:off x="1432558" y="4594860"/>
          <a:ext cx="1908000" cy="2076233"/>
          <a:chOff x="1432558" y="4594860"/>
          <a:chExt cx="1908000" cy="2076233"/>
        </a:xfrm>
      </xdr:grpSpPr>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a:extLst>
                  <a:ext uri="{FF2B5EF4-FFF2-40B4-BE49-F238E27FC236}">
                    <a16:creationId xmlns:a16="http://schemas.microsoft.com/office/drawing/2014/main" id="{00000000-0008-0000-0400-00003E000000}"/>
                  </a:ext>
                </a:extLst>
              </xdr:cNvPr>
              <xdr:cNvPicPr>
                <a:picLocks noChangeAspect="1" noChangeArrowheads="1"/>
                <a:extLst>
                  <a:ext uri="{84589F7E-364E-4C9E-8A38-B11213B215E9}">
                    <a14:cameraTool cellRange="'KEY MEASURES'!$E$6:$X$38" spid="_x0000_s126831"/>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26009" name="Drop Down 57" hidden="1">
              <a:extLst>
                <a:ext uri="{63B3BB69-23CF-44E3-9099-C40C66FF867C}">
                  <a14:compatExt spid="_x0000_s126009"/>
                </a:ext>
                <a:ext uri="{FF2B5EF4-FFF2-40B4-BE49-F238E27FC236}">
                  <a16:creationId xmlns:a16="http://schemas.microsoft.com/office/drawing/2014/main" id="{00000000-0008-0000-0400-000039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1424940" y="7033260"/>
          <a:ext cx="1907998" cy="48006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a:extLst>
              <a:ext uri="{FF2B5EF4-FFF2-40B4-BE49-F238E27FC236}">
                <a16:creationId xmlns:a16="http://schemas.microsoft.com/office/drawing/2014/main" id="{00000000-0008-0000-0400-000049000000}"/>
              </a:ext>
            </a:extLst>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9300" y="7033260"/>
          <a:ext cx="2331720" cy="480060"/>
          <a:chOff x="9243060" y="7033260"/>
          <a:chExt cx="2209800" cy="480060"/>
        </a:xfrm>
      </xdr:grpSpPr>
      <xdr:sp macro="" textlink="">
        <xdr:nvSpPr>
          <xdr:cNvPr id="89" name="TextBox 88">
            <a:hlinkClick xmlns:r="http://schemas.openxmlformats.org/officeDocument/2006/relationships" r:id="rId19" tooltip="Data Table"/>
            <a:extLst>
              <a:ext uri="{FF2B5EF4-FFF2-40B4-BE49-F238E27FC236}">
                <a16:creationId xmlns:a16="http://schemas.microsoft.com/office/drawing/2014/main" id="{00000000-0008-0000-0400-000059000000}"/>
              </a:ext>
            </a:extLst>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a:extLst>
            <a:ext uri="{FF2B5EF4-FFF2-40B4-BE49-F238E27FC236}">
              <a16:creationId xmlns:a16="http://schemas.microsoft.com/office/drawing/2014/main" id="{00000000-0008-0000-0400-00004E000000}"/>
            </a:ext>
          </a:extLst>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7658100" y="7033260"/>
          <a:ext cx="1813560" cy="480060"/>
          <a:chOff x="7383780" y="7033260"/>
          <a:chExt cx="1722120" cy="480060"/>
        </a:xfrm>
      </xdr:grpSpPr>
      <xdr:sp macro="" textlink="">
        <xdr:nvSpPr>
          <xdr:cNvPr id="79" name="TextBox 78">
            <a:hlinkClick xmlns:r="http://schemas.openxmlformats.org/officeDocument/2006/relationships" r:id="rId22" tooltip="Contents Page"/>
            <a:extLst>
              <a:ext uri="{FF2B5EF4-FFF2-40B4-BE49-F238E27FC236}">
                <a16:creationId xmlns:a16="http://schemas.microsoft.com/office/drawing/2014/main" id="{00000000-0008-0000-0400-00004F000000}"/>
              </a:ext>
            </a:extLst>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a:extLst>
                  <a:ext uri="{FF2B5EF4-FFF2-40B4-BE49-F238E27FC236}">
                    <a16:creationId xmlns:a16="http://schemas.microsoft.com/office/drawing/2014/main" id="{00000000-0008-0000-0400-00005D000000}"/>
                  </a:ext>
                </a:extLst>
              </xdr:cNvPr>
              <xdr:cNvPicPr>
                <a:picLocks noChangeAspect="1" noChangeArrowheads="1"/>
                <a:extLst>
                  <a:ext uri="{84589F7E-364E-4C9E-8A38-B11213B215E9}">
                    <a14:cameraTool cellRange="CONTENTS!$E$6:$X$38" spid="_x0000_s126832"/>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3436620" y="7033260"/>
          <a:ext cx="2029918" cy="480060"/>
          <a:chOff x="3436620" y="7033260"/>
          <a:chExt cx="1907998" cy="480060"/>
        </a:xfrm>
      </xdr:grpSpPr>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a:extLst>
              <a:ext uri="{FF2B5EF4-FFF2-40B4-BE49-F238E27FC236}">
                <a16:creationId xmlns:a16="http://schemas.microsoft.com/office/drawing/2014/main" id="{00000000-0008-0000-0400-000038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a:extLst>
            <a:ext uri="{FF2B5EF4-FFF2-40B4-BE49-F238E27FC236}">
              <a16:creationId xmlns:a16="http://schemas.microsoft.com/office/drawing/2014/main" id="{00000000-0008-0000-0400-00004C000000}"/>
            </a:ext>
          </a:extLst>
        </xdr:cNvPr>
        <xdr:cNvGrpSpPr/>
      </xdr:nvGrpSpPr>
      <xdr:grpSpPr>
        <a:xfrm>
          <a:off x="3409950" y="4594860"/>
          <a:ext cx="2029920" cy="207623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a:extLst>
              <a:ext uri="{FF2B5EF4-FFF2-40B4-BE49-F238E27FC236}">
                <a16:creationId xmlns:a16="http://schemas.microsoft.com/office/drawing/2014/main" id="{00000000-0008-0000-0400-000050000000}"/>
              </a:ext>
            </a:extLst>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SECTORAL ANALYSIS'!$E$6:$X$36" spid="_x0000_s126833"/>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COVER!$E$6:$X$34" spid="_x0000_s126834"/>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2146280" y="106680"/>
          <a:ext cx="2621280" cy="982980"/>
          <a:chOff x="11597640" y="106680"/>
          <a:chExt cx="2621280" cy="98298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a:extLst>
              <a:ext uri="{FF2B5EF4-FFF2-40B4-BE49-F238E27FC236}">
                <a16:creationId xmlns:a16="http://schemas.microsoft.com/office/drawing/2014/main" id="{00000000-0008-0000-0400-000041000000}"/>
              </a:ext>
            </a:extLst>
          </xdr:cNvPr>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a:extLst>
            <a:ext uri="{FF2B5EF4-FFF2-40B4-BE49-F238E27FC236}">
              <a16:creationId xmlns:a16="http://schemas.microsoft.com/office/drawing/2014/main" id="{00000000-0008-0000-0400-000043000000}"/>
            </a:ext>
          </a:extLst>
        </xdr:cNvPr>
        <xdr:cNvGrpSpPr/>
      </xdr:nvGrpSpPr>
      <xdr:grpSpPr>
        <a:xfrm>
          <a:off x="5614035" y="4598670"/>
          <a:ext cx="2047065" cy="2076233"/>
          <a:chOff x="1432558" y="4594860"/>
          <a:chExt cx="1908000" cy="2076233"/>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VISITOR TYPE DISTRIBUTION'!$E$6:$X$37" spid="_x0000_s126835"/>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a:extLst>
            <a:ext uri="{FF2B5EF4-FFF2-40B4-BE49-F238E27FC236}">
              <a16:creationId xmlns:a16="http://schemas.microsoft.com/office/drawing/2014/main" id="{00000000-0008-0000-0400-000057000000}"/>
            </a:ext>
          </a:extLst>
        </xdr:cNvPr>
        <xdr:cNvGrpSpPr/>
      </xdr:nvGrpSpPr>
      <xdr:grpSpPr>
        <a:xfrm>
          <a:off x="7778115" y="4598670"/>
          <a:ext cx="2047065" cy="2076233"/>
          <a:chOff x="1432558" y="4594860"/>
          <a:chExt cx="1908000" cy="2076233"/>
        </a:xfrm>
      </xdr:grpSpPr>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a:extLst>
                  <a:ext uri="{FF2B5EF4-FFF2-40B4-BE49-F238E27FC236}">
                    <a16:creationId xmlns:a16="http://schemas.microsoft.com/office/drawing/2014/main" id="{00000000-0008-0000-0400-00005A000000}"/>
                  </a:ext>
                </a:extLst>
              </xdr:cNvPr>
              <xdr:cNvPicPr>
                <a:picLocks noChangeAspect="1" noChangeArrowheads="1"/>
                <a:extLst>
                  <a:ext uri="{84589F7E-364E-4C9E-8A38-B11213B215E9}">
                    <a14:cameraTool cellRange="'MONTHLY DISTRIBUTION'!$E$6:$X$38" spid="_x0000_s126836"/>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a:extLst>
            <a:ext uri="{FF2B5EF4-FFF2-40B4-BE49-F238E27FC236}">
              <a16:creationId xmlns:a16="http://schemas.microsoft.com/office/drawing/2014/main" id="{00000000-0008-0000-0400-00004A000000}"/>
            </a:ext>
          </a:extLst>
        </xdr:cNvPr>
        <xdr:cNvGrpSpPr/>
      </xdr:nvGrpSpPr>
      <xdr:grpSpPr>
        <a:xfrm>
          <a:off x="9932670" y="4598670"/>
          <a:ext cx="2047065" cy="2076233"/>
          <a:chOff x="1432558" y="4594860"/>
          <a:chExt cx="1908000" cy="2076233"/>
        </a:xfrm>
      </xdr:grpSpPr>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a:extLst>
                  <a:ext uri="{FF2B5EF4-FFF2-40B4-BE49-F238E27FC236}">
                    <a16:creationId xmlns:a16="http://schemas.microsoft.com/office/drawing/2014/main" id="{00000000-0008-0000-0400-000053000000}"/>
                  </a:ext>
                </a:extLst>
              </xdr:cNvPr>
              <xdr:cNvPicPr>
                <a:picLocks noChangeAspect="1" noChangeArrowheads="1"/>
                <a:extLst>
                  <a:ext uri="{84589F7E-364E-4C9E-8A38-B11213B215E9}">
                    <a14:cameraTool cellRange="'ACCOMMODATION SUPPLY'!$E$6:$X$38" spid="_x0000_s126837"/>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500-000004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5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a:extLst>
            <a:ext uri="{FF2B5EF4-FFF2-40B4-BE49-F238E27FC236}">
              <a16:creationId xmlns:a16="http://schemas.microsoft.com/office/drawing/2014/main" id="{00000000-0008-0000-0500-00000D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days by visitor numbers,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a:extLst>
            <a:ext uri="{FF2B5EF4-FFF2-40B4-BE49-F238E27FC236}">
              <a16:creationId xmlns:a16="http://schemas.microsoft.com/office/drawing/2014/main" id="{00000000-0008-0000-0500-000004F00300}"/>
            </a:ext>
          </a:extLst>
        </xdr:cNvPr>
        <xdr:cNvGrpSpPr/>
      </xdr:nvGrpSpPr>
      <xdr:grpSpPr>
        <a:xfrm>
          <a:off x="1503045" y="2335528"/>
          <a:ext cx="10279380" cy="1057277"/>
          <a:chOff x="1419225" y="2400298"/>
          <a:chExt cx="9944100" cy="1028702"/>
        </a:xfrm>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0500-00002A000000}"/>
                  </a:ext>
                </a:extLst>
              </xdr:cNvPr>
              <xdr:cNvPicPr>
                <a:picLocks noChangeAspect="1" noChangeArrowheads="1"/>
                <a:extLst>
                  <a:ext uri="{84589F7E-364E-4C9E-8A38-B11213B215E9}">
                    <a14:cameraTool cellRange="'ECONOMIC IMPACT'!$E$6:$X$7" spid="_x0000_s258778"/>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a:extLst>
              <a:ext uri="{FF2B5EF4-FFF2-40B4-BE49-F238E27FC236}">
                <a16:creationId xmlns:a16="http://schemas.microsoft.com/office/drawing/2014/main" id="{00000000-0008-0000-0500-000000F00300}"/>
              </a:ext>
            </a:extLst>
          </xdr:cNvPr>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a:extLst>
              <a:ext uri="{FF2B5EF4-FFF2-40B4-BE49-F238E27FC236}">
                <a16:creationId xmlns:a16="http://schemas.microsoft.com/office/drawing/2014/main" id="{00000000-0008-0000-0500-00002D000000}"/>
              </a:ext>
            </a:extLst>
          </xdr:cNvPr>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a:extLst>
              <a:ext uri="{FF2B5EF4-FFF2-40B4-BE49-F238E27FC236}">
                <a16:creationId xmlns:a16="http://schemas.microsoft.com/office/drawing/2014/main" id="{00000000-0008-0000-0500-00002F000000}"/>
              </a:ext>
            </a:extLst>
          </xdr:cNvPr>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a:extLst>
            <a:ext uri="{FF2B5EF4-FFF2-40B4-BE49-F238E27FC236}">
              <a16:creationId xmlns:a16="http://schemas.microsoft.com/office/drawing/2014/main" id="{00000000-0008-0000-0500-000005F00300}"/>
            </a:ext>
          </a:extLst>
        </xdr:cNvPr>
        <xdr:cNvGrpSpPr/>
      </xdr:nvGrpSpPr>
      <xdr:grpSpPr>
        <a:xfrm>
          <a:off x="1474470" y="3990974"/>
          <a:ext cx="10298431" cy="1478281"/>
          <a:chOff x="1428750" y="4029074"/>
          <a:chExt cx="9963151" cy="1438276"/>
        </a:xfrm>
      </xdr:grpSpPr>
      <mc:AlternateContent xmlns:mc="http://schemas.openxmlformats.org/markup-compatibility/2006" xmlns:a14="http://schemas.microsoft.com/office/drawing/2010/main">
        <mc:Choice Requires="a14">
          <xdr:pic>
            <xdr:nvPicPr>
              <xdr:cNvPr id="50" name="Picture 49">
                <a:extLst>
                  <a:ext uri="{FF2B5EF4-FFF2-40B4-BE49-F238E27FC236}">
                    <a16:creationId xmlns:a16="http://schemas.microsoft.com/office/drawing/2014/main" id="{00000000-0008-0000-0500-000032000000}"/>
                  </a:ext>
                </a:extLst>
              </xdr:cNvPr>
              <xdr:cNvPicPr>
                <a:picLocks noChangeAspect="1" noChangeArrowheads="1"/>
                <a:extLst>
                  <a:ext uri="{84589F7E-364E-4C9E-8A38-B11213B215E9}">
                    <a14:cameraTool cellRange="'COMPARATIVE HEADLINES'!$E$4:$X$5" spid="_x0000_s258779"/>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a:extLst>
              <a:ext uri="{FF2B5EF4-FFF2-40B4-BE49-F238E27FC236}">
                <a16:creationId xmlns:a16="http://schemas.microsoft.com/office/drawing/2014/main" id="{00000000-0008-0000-0500-000034000000}"/>
              </a:ext>
            </a:extLst>
          </xdr:cNvPr>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a:extLst>
              <a:ext uri="{FF2B5EF4-FFF2-40B4-BE49-F238E27FC236}">
                <a16:creationId xmlns:a16="http://schemas.microsoft.com/office/drawing/2014/main" id="{00000000-0008-0000-0500-000036000000}"/>
              </a:ext>
            </a:extLst>
          </xdr:cNvPr>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a:extLst>
            <a:ext uri="{FF2B5EF4-FFF2-40B4-BE49-F238E27FC236}">
              <a16:creationId xmlns:a16="http://schemas.microsoft.com/office/drawing/2014/main" id="{00000000-0008-0000-0500-00003A000000}"/>
            </a:ext>
          </a:extLst>
        </xdr:cNvPr>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6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22860</xdr:rowOff>
        </xdr:from>
        <xdr:to>
          <xdr:col>22</xdr:col>
          <xdr:colOff>274320</xdr:colOff>
          <xdr:row>4</xdr:row>
          <xdr:rowOff>297180</xdr:rowOff>
        </xdr:to>
        <xdr:sp macro="" textlink="">
          <xdr:nvSpPr>
            <xdr:cNvPr id="109573" name="Drop Down 5" hidden="1">
              <a:extLst>
                <a:ext uri="{63B3BB69-23CF-44E3-9099-C40C66FF867C}">
                  <a14:compatExt spid="_x0000_s109573"/>
                </a:ext>
                <a:ext uri="{FF2B5EF4-FFF2-40B4-BE49-F238E27FC236}">
                  <a16:creationId xmlns:a16="http://schemas.microsoft.com/office/drawing/2014/main" id="{00000000-0008-0000-0600-00000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4</xdr:row>
          <xdr:rowOff>22860</xdr:rowOff>
        </xdr:from>
        <xdr:to>
          <xdr:col>8</xdr:col>
          <xdr:colOff>144780</xdr:colOff>
          <xdr:row>4</xdr:row>
          <xdr:rowOff>297180</xdr:rowOff>
        </xdr:to>
        <xdr:sp macro="" textlink="">
          <xdr:nvSpPr>
            <xdr:cNvPr id="109574" name="Drop Down 6" hidden="1">
              <a:extLst>
                <a:ext uri="{63B3BB69-23CF-44E3-9099-C40C66FF867C}">
                  <a14:compatExt spid="_x0000_s109574"/>
                </a:ext>
                <a:ext uri="{FF2B5EF4-FFF2-40B4-BE49-F238E27FC236}">
                  <a16:creationId xmlns:a16="http://schemas.microsoft.com/office/drawing/2014/main" id="{00000000-0008-0000-0600-00000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83820</xdr:colOff>
          <xdr:row>4</xdr:row>
          <xdr:rowOff>22860</xdr:rowOff>
        </xdr:from>
        <xdr:to>
          <xdr:col>17</xdr:col>
          <xdr:colOff>297180</xdr:colOff>
          <xdr:row>4</xdr:row>
          <xdr:rowOff>297180</xdr:rowOff>
        </xdr:to>
        <xdr:sp macro="" textlink="">
          <xdr:nvSpPr>
            <xdr:cNvPr id="109575" name="Drop Down 7" hidden="1">
              <a:extLst>
                <a:ext uri="{63B3BB69-23CF-44E3-9099-C40C66FF867C}">
                  <a14:compatExt spid="_x0000_s109575"/>
                </a:ext>
                <a:ext uri="{FF2B5EF4-FFF2-40B4-BE49-F238E27FC236}">
                  <a16:creationId xmlns:a16="http://schemas.microsoft.com/office/drawing/2014/main" id="{00000000-0008-0000-0600-00000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22860</xdr:rowOff>
        </xdr:from>
        <xdr:to>
          <xdr:col>5</xdr:col>
          <xdr:colOff>0</xdr:colOff>
          <xdr:row>4</xdr:row>
          <xdr:rowOff>297180</xdr:rowOff>
        </xdr:to>
        <xdr:sp macro="" textlink="">
          <xdr:nvSpPr>
            <xdr:cNvPr id="109576" name="Drop Down 8" hidden="1">
              <a:extLst>
                <a:ext uri="{63B3BB69-23CF-44E3-9099-C40C66FF867C}">
                  <a14:compatExt spid="_x0000_s109576"/>
                </a:ext>
                <a:ext uri="{FF2B5EF4-FFF2-40B4-BE49-F238E27FC236}">
                  <a16:creationId xmlns:a16="http://schemas.microsoft.com/office/drawing/2014/main" id="{00000000-0008-0000-0600-00000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a:extLst>
            <a:ext uri="{FF2B5EF4-FFF2-40B4-BE49-F238E27FC236}">
              <a16:creationId xmlns:a16="http://schemas.microsoft.com/office/drawing/2014/main" id="{00000000-0008-0000-0600-00001A000000}"/>
            </a:ext>
          </a:extLst>
        </xdr:cNvPr>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a:extLst>
            <a:ext uri="{FF2B5EF4-FFF2-40B4-BE49-F238E27FC236}">
              <a16:creationId xmlns:a16="http://schemas.microsoft.com/office/drawing/2014/main" id="{00000000-0008-0000-0700-000021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7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39266" name="Drop Down 2" hidden="1">
              <a:extLst>
                <a:ext uri="{63B3BB69-23CF-44E3-9099-C40C66FF867C}">
                  <a14:compatExt spid="_x0000_s139266"/>
                </a:ext>
                <a:ext uri="{FF2B5EF4-FFF2-40B4-BE49-F238E27FC236}">
                  <a16:creationId xmlns:a16="http://schemas.microsoft.com/office/drawing/2014/main" id="{00000000-0008-0000-0700-00000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07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a:extLst>
            <a:ext uri="{FF2B5EF4-FFF2-40B4-BE49-F238E27FC236}">
              <a16:creationId xmlns:a16="http://schemas.microsoft.com/office/drawing/2014/main" id="{00000000-0008-0000-0700-000010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7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a:extLst>
            <a:ext uri="{FF2B5EF4-FFF2-40B4-BE49-F238E27FC236}">
              <a16:creationId xmlns:a16="http://schemas.microsoft.com/office/drawing/2014/main" id="{00000000-0008-0000-0700-000012000000}"/>
            </a:ext>
          </a:extLst>
        </xdr:cNvPr>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a:extLst>
                <a:ext uri="{84589F7E-364E-4C9E-8A38-B11213B215E9}">
                  <a14:cameraTool cellRange="'ECONOMIC IMPACT'!$E$17:$E$27" spid="_x0000_s408909"/>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a:extLst>
                <a:ext uri="{FF2B5EF4-FFF2-40B4-BE49-F238E27FC236}">
                  <a16:creationId xmlns:a16="http://schemas.microsoft.com/office/drawing/2014/main" id="{00000000-0008-0000-0700-00001A000000}"/>
                </a:ext>
              </a:extLst>
            </xdr:cNvPr>
            <xdr:cNvPicPr>
              <a:picLocks noChangeAspect="1" noChangeArrowheads="1"/>
              <a:extLst>
                <a:ext uri="{84589F7E-364E-4C9E-8A38-B11213B215E9}">
                  <a14:cameraTool cellRange="'ECONOMIC IMPACT'!$T$17:$T$27" spid="_x0000_s408910"/>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198120</xdr:colOff>
          <xdr:row>4</xdr:row>
          <xdr:rowOff>22860</xdr:rowOff>
        </xdr:from>
        <xdr:to>
          <xdr:col>22</xdr:col>
          <xdr:colOff>289560</xdr:colOff>
          <xdr:row>4</xdr:row>
          <xdr:rowOff>289560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07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VISITOR NUMBERS'!$E$17:$E$27" spid="_x0000_s408911"/>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VISITOR NUMBERS'!$T$17:$T$27" spid="_x0000_s408912"/>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VISITOR DAYS'!$E$17:$E$27" spid="_x0000_s408913"/>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a:extLst>
                <a:ext uri="{FF2B5EF4-FFF2-40B4-BE49-F238E27FC236}">
                  <a16:creationId xmlns:a16="http://schemas.microsoft.com/office/drawing/2014/main" id="{00000000-0008-0000-0700-00002A000000}"/>
                </a:ext>
              </a:extLst>
            </xdr:cNvPr>
            <xdr:cNvPicPr>
              <a:picLocks noChangeAspect="1" noChangeArrowheads="1"/>
              <a:extLst>
                <a:ext uri="{84589F7E-364E-4C9E-8A38-B11213B215E9}">
                  <a14:cameraTool cellRange="'VISITOR DAYS'!$T$17:$T$27" spid="_x0000_s408914"/>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a:extLst>
                <a:ext uri="{FF2B5EF4-FFF2-40B4-BE49-F238E27FC236}">
                  <a16:creationId xmlns:a16="http://schemas.microsoft.com/office/drawing/2014/main" id="{00000000-0008-0000-0700-00002C000000}"/>
                </a:ext>
              </a:extLst>
            </xdr:cNvPr>
            <xdr:cNvPicPr>
              <a:picLocks noChangeAspect="1" noChangeArrowheads="1"/>
              <a:extLst>
                <a:ext uri="{84589F7E-364E-4C9E-8A38-B11213B215E9}">
                  <a14:cameraTool cellRange="EMPLOYMENT!$E$17:$E$27" spid="_x0000_s408915"/>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a:extLst>
                <a:ext uri="{84589F7E-364E-4C9E-8A38-B11213B215E9}">
                  <a14:cameraTool cellRange="EMPLOYMENT!$T$17:$T$27" spid="_x0000_s408916"/>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a:extLst>
            <a:ext uri="{FF2B5EF4-FFF2-40B4-BE49-F238E27FC236}">
              <a16:creationId xmlns:a16="http://schemas.microsoft.com/office/drawing/2014/main" id="{00000000-0008-0000-0800-000002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800-000004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8417" name="Drop Down 1" hidden="1">
              <a:extLst>
                <a:ext uri="{63B3BB69-23CF-44E3-9099-C40C66FF867C}">
                  <a14:compatExt spid="_x0000_s188417"/>
                </a:ext>
                <a:ext uri="{FF2B5EF4-FFF2-40B4-BE49-F238E27FC236}">
                  <a16:creationId xmlns:a16="http://schemas.microsoft.com/office/drawing/2014/main" id="{00000000-0008-0000-08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800-00000C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a:extLst>
            <a:ext uri="{FF2B5EF4-FFF2-40B4-BE49-F238E27FC236}">
              <a16:creationId xmlns:a16="http://schemas.microsoft.com/office/drawing/2014/main" id="{00000000-0008-0000-0800-00000D000000}"/>
            </a:ext>
          </a:extLst>
        </xdr:cNvPr>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0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a:extLst>
            <a:ext uri="{FF2B5EF4-FFF2-40B4-BE49-F238E27FC236}">
              <a16:creationId xmlns:a16="http://schemas.microsoft.com/office/drawing/2014/main" id="{00000000-0008-0000-0800-000015000000}"/>
            </a:ext>
          </a:extLst>
        </xdr:cNvPr>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£1,097.75m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a:extLst>
            <a:ext uri="{FF2B5EF4-FFF2-40B4-BE49-F238E27FC236}">
              <a16:creationId xmlns:a16="http://schemas.microsoft.com/office/drawing/2014/main" id="{00000000-0008-0000-0800-000030000000}"/>
            </a:ext>
          </a:extLst>
        </xdr:cNvPr>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9.47m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a:extLst>
            <a:ext uri="{FF2B5EF4-FFF2-40B4-BE49-F238E27FC236}">
              <a16:creationId xmlns:a16="http://schemas.microsoft.com/office/drawing/2014/main" id="{00000000-0008-0000-0800-000031000000}"/>
            </a:ext>
          </a:extLst>
        </xdr:cNvPr>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17.96m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a:extLst>
            <a:ext uri="{FF2B5EF4-FFF2-40B4-BE49-F238E27FC236}">
              <a16:creationId xmlns:a16="http://schemas.microsoft.com/office/drawing/2014/main" id="{00000000-0008-0000-0800-000032000000}"/>
            </a:ext>
          </a:extLst>
        </xdr:cNvPr>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9,521 Direct FTEs
11,871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360170" y="1981199"/>
          <a:ext cx="4871086" cy="2626996"/>
          <a:chOff x="1323975" y="2219324"/>
          <a:chExt cx="4552951" cy="2552701"/>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2895600" y="2219324"/>
            <a:ext cx="2981326" cy="2552701"/>
            <a:chOff x="2895600" y="2219324"/>
            <a:chExt cx="2981326" cy="2552701"/>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a:extLst>
                  <a:ext uri="{FF2B5EF4-FFF2-40B4-BE49-F238E27FC236}">
                    <a16:creationId xmlns:a16="http://schemas.microsoft.com/office/drawing/2014/main" id="{00000000-0008-0000-0800-000013000000}"/>
                  </a:ext>
                </a:extLst>
              </xdr:cNvPr>
              <xdr:cNvGrpSpPr/>
            </xdr:nvGrpSpPr>
            <xdr:grpSpPr>
              <a:xfrm>
                <a:off x="1323975" y="3171825"/>
                <a:ext cx="1304925" cy="1409700"/>
                <a:chOff x="1333500" y="6267450"/>
                <a:chExt cx="1304925" cy="1409700"/>
              </a:xfrm>
            </xdr:grpSpPr>
            <xdr:pic>
              <xdr:nvPicPr>
                <xdr:cNvPr id="103" name="Picture 102">
                  <a:extLst>
                    <a:ext uri="{FF2B5EF4-FFF2-40B4-BE49-F238E27FC236}">
                      <a16:creationId xmlns:a16="http://schemas.microsoft.com/office/drawing/2014/main" id="{00000000-0008-0000-0800-000067000000}"/>
                    </a:ext>
                  </a:extLst>
                </xdr:cNvPr>
                <xdr:cNvPicPr>
                  <a:picLocks noChangeAspect="1" noChangeArrowheads="1"/>
                  <a:extLst>
                    <a:ext uri="{84589F7E-364E-4C9E-8A38-B11213B215E9}">
                      <a14:cameraTool cellRange="$E$77:$E$83" spid="_x0000_s376612"/>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a:extLst>
                    <a:ext uri="{FF2B5EF4-FFF2-40B4-BE49-F238E27FC236}">
                      <a16:creationId xmlns:a16="http://schemas.microsoft.com/office/drawing/2014/main" id="{00000000-0008-0000-0800-000068000000}"/>
                    </a:ext>
                  </a:extLst>
                </xdr:cNvPr>
                <xdr:cNvPicPr>
                  <a:picLocks noChangeAspect="1" noChangeArrowheads="1"/>
                  <a:extLst>
                    <a:ext uri="{84589F7E-364E-4C9E-8A38-B11213B215E9}">
                      <a14:cameraTool cellRange="$G$77:$G$83" spid="_x0000_s376613"/>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a:extLst>
            <a:ext uri="{FF2B5EF4-FFF2-40B4-BE49-F238E27FC236}">
              <a16:creationId xmlns:a16="http://schemas.microsoft.com/office/drawing/2014/main" id="{00000000-0008-0000-0800-000074000000}"/>
            </a:ext>
          </a:extLst>
        </xdr:cNvPr>
        <xdr:cNvGrpSpPr/>
      </xdr:nvGrpSpPr>
      <xdr:grpSpPr>
        <a:xfrm>
          <a:off x="7084695" y="1971674"/>
          <a:ext cx="5010151" cy="2626996"/>
          <a:chOff x="1323975" y="2219324"/>
          <a:chExt cx="4552951" cy="2552701"/>
        </a:xfrm>
      </xdr:grpSpPr>
      <xdr:grpSp>
        <xdr:nvGrpSpPr>
          <xdr:cNvPr id="117" name="Group 116">
            <a:extLst>
              <a:ext uri="{FF2B5EF4-FFF2-40B4-BE49-F238E27FC236}">
                <a16:creationId xmlns:a16="http://schemas.microsoft.com/office/drawing/2014/main" id="{00000000-0008-0000-0800-000075000000}"/>
              </a:ext>
            </a:extLst>
          </xdr:cNvPr>
          <xdr:cNvGrpSpPr/>
        </xdr:nvGrpSpPr>
        <xdr:grpSpPr>
          <a:xfrm>
            <a:off x="2895600" y="2219324"/>
            <a:ext cx="2981326" cy="2552701"/>
            <a:chOff x="2895600" y="2219324"/>
            <a:chExt cx="2981326" cy="2552701"/>
          </a:xfrm>
        </xdr:grpSpPr>
        <xdr:graphicFrame macro="">
          <xdr:nvGraphicFramePr>
            <xdr:cNvPr id="121" name="Chart 120">
              <a:extLst>
                <a:ext uri="{FF2B5EF4-FFF2-40B4-BE49-F238E27FC236}">
                  <a16:creationId xmlns:a16="http://schemas.microsoft.com/office/drawing/2014/main" id="{00000000-0008-0000-0800-00007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a:extLst>
                <a:ext uri="{FF2B5EF4-FFF2-40B4-BE49-F238E27FC236}">
                  <a16:creationId xmlns:a16="http://schemas.microsoft.com/office/drawing/2014/main" id="{00000000-0008-0000-0800-00007A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a:extLst>
                  <a:ext uri="{FF2B5EF4-FFF2-40B4-BE49-F238E27FC236}">
                    <a16:creationId xmlns:a16="http://schemas.microsoft.com/office/drawing/2014/main" id="{00000000-0008-0000-0800-000076000000}"/>
                  </a:ext>
                </a:extLst>
              </xdr:cNvPr>
              <xdr:cNvGrpSpPr/>
            </xdr:nvGrpSpPr>
            <xdr:grpSpPr>
              <a:xfrm>
                <a:off x="1323975" y="3171825"/>
                <a:ext cx="1304925" cy="1409700"/>
                <a:chOff x="1333500" y="6267450"/>
                <a:chExt cx="1304925" cy="1409700"/>
              </a:xfrm>
            </xdr:grpSpPr>
            <xdr:pic>
              <xdr:nvPicPr>
                <xdr:cNvPr id="119" name="Picture 118">
                  <a:extLst>
                    <a:ext uri="{FF2B5EF4-FFF2-40B4-BE49-F238E27FC236}">
                      <a16:creationId xmlns:a16="http://schemas.microsoft.com/office/drawing/2014/main" id="{00000000-0008-0000-0800-000077000000}"/>
                    </a:ext>
                  </a:extLst>
                </xdr:cNvPr>
                <xdr:cNvPicPr>
                  <a:picLocks noChangeAspect="1" noChangeArrowheads="1"/>
                  <a:extLst>
                    <a:ext uri="{84589F7E-364E-4C9E-8A38-B11213B215E9}">
                      <a14:cameraTool cellRange="$E$77:$E$83" spid="_x0000_s376614"/>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a:extLst>
                    <a:ext uri="{FF2B5EF4-FFF2-40B4-BE49-F238E27FC236}">
                      <a16:creationId xmlns:a16="http://schemas.microsoft.com/office/drawing/2014/main" id="{00000000-0008-0000-0800-000078000000}"/>
                    </a:ext>
                  </a:extLst>
                </xdr:cNvPr>
                <xdr:cNvPicPr>
                  <a:picLocks noChangeAspect="1" noChangeArrowheads="1"/>
                  <a:extLst>
                    <a:ext uri="{84589F7E-364E-4C9E-8A38-B11213B215E9}">
                      <a14:cameraTool cellRange="$I$77:$I$83" spid="_x0000_s376615"/>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1369695" y="5076825"/>
          <a:ext cx="4871086" cy="2626996"/>
          <a:chOff x="1323975" y="2219324"/>
          <a:chExt cx="4552951" cy="2552701"/>
        </a:xfrm>
      </xdr:grpSpPr>
      <xdr:grpSp>
        <xdr:nvGrpSpPr>
          <xdr:cNvPr id="132" name="Group 131">
            <a:extLst>
              <a:ext uri="{FF2B5EF4-FFF2-40B4-BE49-F238E27FC236}">
                <a16:creationId xmlns:a16="http://schemas.microsoft.com/office/drawing/2014/main" id="{00000000-0008-0000-0800-000084000000}"/>
              </a:ext>
            </a:extLst>
          </xdr:cNvPr>
          <xdr:cNvGrpSpPr/>
        </xdr:nvGrpSpPr>
        <xdr:grpSpPr>
          <a:xfrm>
            <a:off x="2895600" y="2219324"/>
            <a:ext cx="2981326" cy="2552701"/>
            <a:chOff x="2895600" y="2219324"/>
            <a:chExt cx="2981326" cy="2552701"/>
          </a:xfrm>
        </xdr:grpSpPr>
        <xdr:graphicFrame macro="">
          <xdr:nvGraphicFramePr>
            <xdr:cNvPr id="136" name="Chart 135">
              <a:extLst>
                <a:ext uri="{FF2B5EF4-FFF2-40B4-BE49-F238E27FC236}">
                  <a16:creationId xmlns:a16="http://schemas.microsoft.com/office/drawing/2014/main" id="{00000000-0008-0000-0800-000088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a:extLst>
                <a:ext uri="{FF2B5EF4-FFF2-40B4-BE49-F238E27FC236}">
                  <a16:creationId xmlns:a16="http://schemas.microsoft.com/office/drawing/2014/main" id="{00000000-0008-0000-0800-00008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a:extLst>
                  <a:ext uri="{FF2B5EF4-FFF2-40B4-BE49-F238E27FC236}">
                    <a16:creationId xmlns:a16="http://schemas.microsoft.com/office/drawing/2014/main" id="{00000000-0008-0000-0800-000085000000}"/>
                  </a:ext>
                </a:extLst>
              </xdr:cNvPr>
              <xdr:cNvGrpSpPr/>
            </xdr:nvGrpSpPr>
            <xdr:grpSpPr>
              <a:xfrm>
                <a:off x="1323975" y="3171825"/>
                <a:ext cx="1304925" cy="1409700"/>
                <a:chOff x="1333500" y="6267450"/>
                <a:chExt cx="1304925" cy="1409700"/>
              </a:xfrm>
            </xdr:grpSpPr>
            <xdr:pic>
              <xdr:nvPicPr>
                <xdr:cNvPr id="134" name="Picture 133">
                  <a:extLst>
                    <a:ext uri="{FF2B5EF4-FFF2-40B4-BE49-F238E27FC236}">
                      <a16:creationId xmlns:a16="http://schemas.microsoft.com/office/drawing/2014/main" id="{00000000-0008-0000-0800-000086000000}"/>
                    </a:ext>
                  </a:extLst>
                </xdr:cNvPr>
                <xdr:cNvPicPr>
                  <a:picLocks noChangeAspect="1" noChangeArrowheads="1"/>
                  <a:extLst>
                    <a:ext uri="{84589F7E-364E-4C9E-8A38-B11213B215E9}">
                      <a14:cameraTool cellRange="$E$77:$E$83" spid="_x0000_s376616"/>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a:extLst>
                    <a:ext uri="{FF2B5EF4-FFF2-40B4-BE49-F238E27FC236}">
                      <a16:creationId xmlns:a16="http://schemas.microsoft.com/office/drawing/2014/main" id="{00000000-0008-0000-0800-000087000000}"/>
                    </a:ext>
                  </a:extLst>
                </xdr:cNvPr>
                <xdr:cNvPicPr>
                  <a:picLocks noChangeAspect="1" noChangeArrowheads="1"/>
                  <a:extLst>
                    <a:ext uri="{84589F7E-364E-4C9E-8A38-B11213B215E9}">
                      <a14:cameraTool cellRange="$H$77:$H$83" spid="_x0000_s376617"/>
                    </a:ext>
                  </a:extLst>
                </xdr:cNvPicPr>
              </xdr:nvPicPr>
              <xdr:blipFill>
                <a:blip xmlns:r="http://schemas.openxmlformats.org/officeDocument/2006/relationships" r:embed="rId16"/>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7122794" y="5029199"/>
          <a:ext cx="5010151" cy="2626996"/>
          <a:chOff x="1323975" y="2219324"/>
          <a:chExt cx="4552951" cy="2552701"/>
        </a:xfrm>
      </xdr:grpSpPr>
      <xdr:grpSp>
        <xdr:nvGrpSpPr>
          <xdr:cNvPr id="139" name="Group 138">
            <a:extLst>
              <a:ext uri="{FF2B5EF4-FFF2-40B4-BE49-F238E27FC236}">
                <a16:creationId xmlns:a16="http://schemas.microsoft.com/office/drawing/2014/main" id="{00000000-0008-0000-0800-00008B000000}"/>
              </a:ext>
            </a:extLst>
          </xdr:cNvPr>
          <xdr:cNvGrpSpPr/>
        </xdr:nvGrpSpPr>
        <xdr:grpSpPr>
          <a:xfrm>
            <a:off x="2895600" y="2219324"/>
            <a:ext cx="2981326" cy="2552701"/>
            <a:chOff x="2895600" y="2219324"/>
            <a:chExt cx="2981326" cy="2552701"/>
          </a:xfrm>
        </xdr:grpSpPr>
        <xdr:graphicFrame macro="">
          <xdr:nvGraphicFramePr>
            <xdr:cNvPr id="143" name="Chart 142">
              <a:extLst>
                <a:ext uri="{FF2B5EF4-FFF2-40B4-BE49-F238E27FC236}">
                  <a16:creationId xmlns:a16="http://schemas.microsoft.com/office/drawing/2014/main" id="{00000000-0008-0000-0800-00008F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44" name="Chart 143">
              <a:extLst>
                <a:ext uri="{FF2B5EF4-FFF2-40B4-BE49-F238E27FC236}">
                  <a16:creationId xmlns:a16="http://schemas.microsoft.com/office/drawing/2014/main" id="{00000000-0008-0000-0800-000090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8"/>
            </a:graphicData>
          </a:graphic>
        </xdr:graphicFrame>
      </xdr:grpSp>
      <mc:AlternateContent xmlns:mc="http://schemas.openxmlformats.org/markup-compatibility/2006">
        <mc:Choice xmlns:a14="http://schemas.microsoft.com/office/drawing/2010/main" Requires="a14">
          <xdr:grpSp>
            <xdr:nvGrpSpPr>
              <xdr:cNvPr id="140" name="Group 139">
                <a:extLst>
                  <a:ext uri="{FF2B5EF4-FFF2-40B4-BE49-F238E27FC236}">
                    <a16:creationId xmlns:a16="http://schemas.microsoft.com/office/drawing/2014/main" id="{00000000-0008-0000-0800-00008C000000}"/>
                  </a:ext>
                </a:extLst>
              </xdr:cNvPr>
              <xdr:cNvGrpSpPr/>
            </xdr:nvGrpSpPr>
            <xdr:grpSpPr>
              <a:xfrm>
                <a:off x="1323975" y="3171825"/>
                <a:ext cx="1304925" cy="1409700"/>
                <a:chOff x="1333500" y="6267450"/>
                <a:chExt cx="1304925" cy="1409700"/>
              </a:xfrm>
            </xdr:grpSpPr>
            <xdr:pic>
              <xdr:nvPicPr>
                <xdr:cNvPr id="141" name="Picture 140">
                  <a:extLst>
                    <a:ext uri="{FF2B5EF4-FFF2-40B4-BE49-F238E27FC236}">
                      <a16:creationId xmlns:a16="http://schemas.microsoft.com/office/drawing/2014/main" id="{00000000-0008-0000-0800-00008D000000}"/>
                    </a:ext>
                  </a:extLst>
                </xdr:cNvPr>
                <xdr:cNvPicPr>
                  <a:picLocks noChangeAspect="1" noChangeArrowheads="1"/>
                  <a:extLst>
                    <a:ext uri="{84589F7E-364E-4C9E-8A38-B11213B215E9}">
                      <a14:cameraTool cellRange="$E$77:$E$83" spid="_x0000_s376618"/>
                    </a:ext>
                  </a:extLst>
                </xdr:cNvPicPr>
              </xdr:nvPicPr>
              <xdr:blipFill>
                <a:blip xmlns:r="http://schemas.openxmlformats.org/officeDocument/2006/relationships" r:embed="rId19"/>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a:extLst>
                    <a:ext uri="{FF2B5EF4-FFF2-40B4-BE49-F238E27FC236}">
                      <a16:creationId xmlns:a16="http://schemas.microsoft.com/office/drawing/2014/main" id="{00000000-0008-0000-0800-00008E000000}"/>
                    </a:ext>
                  </a:extLst>
                </xdr:cNvPr>
                <xdr:cNvPicPr>
                  <a:picLocks noChangeAspect="1" noChangeArrowheads="1"/>
                  <a:extLst>
                    <a:ext uri="{84589F7E-364E-4C9E-8A38-B11213B215E9}">
                      <a14:cameraTool cellRange="$J$77:$J$83" spid="_x0000_s376619"/>
                    </a:ext>
                  </a:extLst>
                </xdr:cNvPicPr>
              </xdr:nvPicPr>
              <xdr:blipFill>
                <a:blip xmlns:r="http://schemas.openxmlformats.org/officeDocument/2006/relationships" r:embed="rId20"/>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a:extLst>
            <a:ext uri="{FF2B5EF4-FFF2-40B4-BE49-F238E27FC236}">
              <a16:creationId xmlns:a16="http://schemas.microsoft.com/office/drawing/2014/main" id="{00000000-0008-0000-0900-000009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a:extLst>
            <a:ext uri="{FF2B5EF4-FFF2-40B4-BE49-F238E27FC236}">
              <a16:creationId xmlns:a16="http://schemas.microsoft.com/office/drawing/2014/main" id="{00000000-0008-0000-0900-00000B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900-000010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9442" name="Drop Dow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GTS02"/>
  <dimension ref="A1:AD29"/>
  <sheetViews>
    <sheetView showGridLines="0" workbookViewId="0">
      <selection sqref="A1:AC29"/>
    </sheetView>
  </sheetViews>
  <sheetFormatPr defaultRowHeight="13.8" x14ac:dyDescent="0.3"/>
  <sheetData>
    <row r="1" spans="1:29" x14ac:dyDescent="0.3">
      <c r="A1" s="787"/>
      <c r="B1" s="787">
        <v>1995</v>
      </c>
      <c r="C1" s="787">
        <v>1996</v>
      </c>
      <c r="D1" s="787">
        <v>1997</v>
      </c>
      <c r="E1" s="787">
        <v>1998</v>
      </c>
      <c r="F1" s="787">
        <v>1999</v>
      </c>
      <c r="G1" s="787">
        <v>2000</v>
      </c>
      <c r="H1" s="787">
        <v>2001</v>
      </c>
      <c r="I1" s="787">
        <v>2002</v>
      </c>
      <c r="J1" s="787">
        <v>2003</v>
      </c>
      <c r="K1" s="787">
        <v>2004</v>
      </c>
      <c r="L1" s="787">
        <v>2005</v>
      </c>
      <c r="M1" s="787">
        <v>2006</v>
      </c>
      <c r="N1" s="787">
        <v>2007</v>
      </c>
      <c r="O1" s="787">
        <v>2008</v>
      </c>
      <c r="P1" s="787">
        <v>2009</v>
      </c>
      <c r="Q1" s="787">
        <v>2010</v>
      </c>
      <c r="R1" s="787">
        <v>2011</v>
      </c>
      <c r="S1" s="787">
        <v>2012</v>
      </c>
      <c r="T1" s="787">
        <v>2013</v>
      </c>
      <c r="U1" s="787">
        <v>2014</v>
      </c>
      <c r="V1" s="787">
        <v>2015</v>
      </c>
      <c r="W1" s="787">
        <v>2016</v>
      </c>
      <c r="X1" s="787">
        <v>2017</v>
      </c>
      <c r="Y1" s="787">
        <v>2018</v>
      </c>
      <c r="Z1" s="787">
        <v>2019</v>
      </c>
      <c r="AA1" s="787">
        <v>2020</v>
      </c>
      <c r="AB1" s="787">
        <v>2021</v>
      </c>
      <c r="AC1" s="787">
        <v>2022</v>
      </c>
    </row>
    <row r="2" spans="1:29" x14ac:dyDescent="0.3">
      <c r="A2" s="787">
        <v>1995</v>
      </c>
      <c r="B2" s="787">
        <v>1</v>
      </c>
      <c r="C2" s="787">
        <v>1.0289999999999999</v>
      </c>
      <c r="D2" s="787">
        <v>1.0580000000000001</v>
      </c>
      <c r="E2" s="787">
        <v>1.0920000000000001</v>
      </c>
      <c r="F2" s="787">
        <v>1.119</v>
      </c>
      <c r="G2" s="787">
        <v>1.141</v>
      </c>
      <c r="H2" s="787">
        <v>1.1719999999999999</v>
      </c>
      <c r="I2" s="787">
        <v>1.1870000000000001</v>
      </c>
      <c r="J2" s="787">
        <v>1.222</v>
      </c>
      <c r="K2" s="787">
        <v>1.254</v>
      </c>
      <c r="L2" s="787">
        <v>1.294</v>
      </c>
      <c r="M2" s="787">
        <v>1.325</v>
      </c>
      <c r="N2" s="787">
        <v>1.381</v>
      </c>
      <c r="O2" s="787">
        <v>1.4370000000000001</v>
      </c>
      <c r="P2" s="787">
        <v>1.4390000000000001</v>
      </c>
      <c r="Q2" s="787">
        <v>1.492</v>
      </c>
      <c r="R2" s="787">
        <v>1.5680000000000001</v>
      </c>
      <c r="S2" s="787">
        <v>1.63</v>
      </c>
      <c r="T2" s="787">
        <v>1.6839999999999999</v>
      </c>
      <c r="U2" s="787">
        <v>1.73</v>
      </c>
      <c r="V2" s="787">
        <v>1.7490000000000001</v>
      </c>
      <c r="W2" s="787">
        <v>1.7729999999999999</v>
      </c>
      <c r="X2" s="787">
        <v>1.8180000000000001</v>
      </c>
      <c r="Y2" s="787">
        <v>1.89</v>
      </c>
      <c r="Z2" s="787">
        <v>1.9339999999999999</v>
      </c>
      <c r="AA2" s="787">
        <v>1.9859378091872792</v>
      </c>
      <c r="AB2" s="787">
        <v>2.0132734982332159</v>
      </c>
      <c r="AC2" s="787">
        <v>2.1711371024734984</v>
      </c>
    </row>
    <row r="3" spans="1:29" x14ac:dyDescent="0.3">
      <c r="A3" s="787">
        <v>1996</v>
      </c>
      <c r="B3" s="787">
        <v>0.97199999999999998</v>
      </c>
      <c r="C3" s="787">
        <v>1</v>
      </c>
      <c r="D3" s="787">
        <v>1.028</v>
      </c>
      <c r="E3" s="787">
        <v>1.0620000000000001</v>
      </c>
      <c r="F3" s="787">
        <v>1.0880000000000001</v>
      </c>
      <c r="G3" s="787">
        <v>1.109</v>
      </c>
      <c r="H3" s="787">
        <v>1.139</v>
      </c>
      <c r="I3" s="787">
        <v>1.1539999999999999</v>
      </c>
      <c r="J3" s="787">
        <v>1.1879999999999999</v>
      </c>
      <c r="K3" s="787">
        <v>1.2190000000000001</v>
      </c>
      <c r="L3" s="787">
        <v>1.258</v>
      </c>
      <c r="M3" s="787">
        <v>1.288</v>
      </c>
      <c r="N3" s="787">
        <v>1.3420000000000001</v>
      </c>
      <c r="O3" s="787">
        <v>1.397</v>
      </c>
      <c r="P3" s="787">
        <v>1.399</v>
      </c>
      <c r="Q3" s="787">
        <v>1.4510000000000001</v>
      </c>
      <c r="R3" s="787">
        <v>1.5249999999999999</v>
      </c>
      <c r="S3" s="787">
        <v>1.585</v>
      </c>
      <c r="T3" s="787">
        <v>1.6359999999999999</v>
      </c>
      <c r="U3" s="787">
        <v>1.6819999999999999</v>
      </c>
      <c r="V3" s="787">
        <v>1.7</v>
      </c>
      <c r="W3" s="787">
        <v>1.7230000000000001</v>
      </c>
      <c r="X3" s="787">
        <v>1.768</v>
      </c>
      <c r="Y3" s="787">
        <v>1.8380000000000001</v>
      </c>
      <c r="Z3" s="787">
        <v>1.885</v>
      </c>
      <c r="AA3" s="787">
        <v>1.9356219081272086</v>
      </c>
      <c r="AB3" s="787">
        <v>1.9622650176678447</v>
      </c>
      <c r="AC3" s="787">
        <v>2.1161289752650174</v>
      </c>
    </row>
    <row r="4" spans="1:29" x14ac:dyDescent="0.3">
      <c r="A4" s="787">
        <v>1997</v>
      </c>
      <c r="B4" s="787">
        <v>0.94599999999999995</v>
      </c>
      <c r="C4" s="787">
        <v>0.97299999999999998</v>
      </c>
      <c r="D4" s="787">
        <v>1</v>
      </c>
      <c r="E4" s="787">
        <v>1.0329999999999999</v>
      </c>
      <c r="F4" s="787">
        <v>1.0580000000000001</v>
      </c>
      <c r="G4" s="787">
        <v>1.079</v>
      </c>
      <c r="H4" s="787">
        <v>1.1080000000000001</v>
      </c>
      <c r="I4" s="787">
        <v>1.1220000000000001</v>
      </c>
      <c r="J4" s="787">
        <v>1.155</v>
      </c>
      <c r="K4" s="787">
        <v>1.1859999999999999</v>
      </c>
      <c r="L4" s="787">
        <v>1.2230000000000001</v>
      </c>
      <c r="M4" s="787">
        <v>1.2529999999999999</v>
      </c>
      <c r="N4" s="787">
        <v>1.306</v>
      </c>
      <c r="O4" s="787">
        <v>1.359</v>
      </c>
      <c r="P4" s="787">
        <v>1.361</v>
      </c>
      <c r="Q4" s="787">
        <v>1.411</v>
      </c>
      <c r="R4" s="787">
        <v>1.4830000000000001</v>
      </c>
      <c r="S4" s="787">
        <v>1.5409999999999999</v>
      </c>
      <c r="T4" s="787">
        <v>1.5920000000000001</v>
      </c>
      <c r="U4" s="787">
        <v>1.6359999999999999</v>
      </c>
      <c r="V4" s="787">
        <v>1.6539999999999999</v>
      </c>
      <c r="W4" s="787">
        <v>1.6759999999999999</v>
      </c>
      <c r="X4" s="787">
        <v>1.72</v>
      </c>
      <c r="Y4" s="787">
        <v>1.788</v>
      </c>
      <c r="Z4" s="787">
        <v>1.833</v>
      </c>
      <c r="AA4" s="787">
        <v>1.8822254416961131</v>
      </c>
      <c r="AB4" s="787">
        <v>1.9081335689045937</v>
      </c>
      <c r="AC4" s="787">
        <v>2.0577530035335689</v>
      </c>
    </row>
    <row r="5" spans="1:29" x14ac:dyDescent="0.3">
      <c r="A5" s="787">
        <v>1998</v>
      </c>
      <c r="B5" s="787">
        <v>0.91500000000000004</v>
      </c>
      <c r="C5" s="787">
        <v>0.94199999999999995</v>
      </c>
      <c r="D5" s="787">
        <v>0.96799999999999997</v>
      </c>
      <c r="E5" s="787">
        <v>1</v>
      </c>
      <c r="F5" s="787">
        <v>1.024</v>
      </c>
      <c r="G5" s="787">
        <v>1.0449999999999999</v>
      </c>
      <c r="H5" s="787">
        <v>1.073</v>
      </c>
      <c r="I5" s="787">
        <v>1.087</v>
      </c>
      <c r="J5" s="787">
        <v>1.1180000000000001</v>
      </c>
      <c r="K5" s="787">
        <v>1.1479999999999999</v>
      </c>
      <c r="L5" s="787">
        <v>1.1839999999999999</v>
      </c>
      <c r="M5" s="787">
        <v>1.2130000000000001</v>
      </c>
      <c r="N5" s="787">
        <v>1.264</v>
      </c>
      <c r="O5" s="787">
        <v>1.3149999999999999</v>
      </c>
      <c r="P5" s="787">
        <v>1.3169999999999999</v>
      </c>
      <c r="Q5" s="787">
        <v>1.3660000000000001</v>
      </c>
      <c r="R5" s="787">
        <v>1.4359999999999999</v>
      </c>
      <c r="S5" s="787">
        <v>1.492</v>
      </c>
      <c r="T5" s="787">
        <v>1.5409999999999999</v>
      </c>
      <c r="U5" s="787">
        <v>1.5840000000000001</v>
      </c>
      <c r="V5" s="787">
        <v>1.601</v>
      </c>
      <c r="W5" s="787">
        <v>1.623</v>
      </c>
      <c r="X5" s="787">
        <v>1.665</v>
      </c>
      <c r="Y5" s="787">
        <v>1.73</v>
      </c>
      <c r="Z5" s="787">
        <v>1.774</v>
      </c>
      <c r="AA5" s="787">
        <v>1.8216409893992933</v>
      </c>
      <c r="AB5" s="787">
        <v>1.8467151943462898</v>
      </c>
      <c r="AC5" s="787">
        <v>1.9915187279151942</v>
      </c>
    </row>
    <row r="6" spans="1:29" x14ac:dyDescent="0.3">
      <c r="A6" s="787">
        <v>1999</v>
      </c>
      <c r="B6" s="787">
        <v>0.89400000000000002</v>
      </c>
      <c r="C6" s="787">
        <v>0.91900000000000004</v>
      </c>
      <c r="D6" s="787">
        <v>0.94499999999999995</v>
      </c>
      <c r="E6" s="787">
        <v>0.97599999999999998</v>
      </c>
      <c r="F6" s="787">
        <v>1</v>
      </c>
      <c r="G6" s="787">
        <v>1.02</v>
      </c>
      <c r="H6" s="787">
        <v>1.0469999999999999</v>
      </c>
      <c r="I6" s="787">
        <v>1.0609999999999999</v>
      </c>
      <c r="J6" s="787">
        <v>1.0920000000000001</v>
      </c>
      <c r="K6" s="787">
        <v>1.121</v>
      </c>
      <c r="L6" s="787">
        <v>1.1559999999999999</v>
      </c>
      <c r="M6" s="787">
        <v>1.1839999999999999</v>
      </c>
      <c r="N6" s="787">
        <v>1.234</v>
      </c>
      <c r="O6" s="787">
        <v>1.284</v>
      </c>
      <c r="P6" s="787">
        <v>1.286</v>
      </c>
      <c r="Q6" s="787">
        <v>1.3340000000000001</v>
      </c>
      <c r="R6" s="787">
        <v>1.401</v>
      </c>
      <c r="S6" s="787">
        <v>1.4570000000000001</v>
      </c>
      <c r="T6" s="787">
        <v>1.504</v>
      </c>
      <c r="U6" s="787">
        <v>1.546</v>
      </c>
      <c r="V6" s="787">
        <v>1.5629999999999999</v>
      </c>
      <c r="W6" s="787">
        <v>1.5840000000000001</v>
      </c>
      <c r="X6" s="787">
        <v>1.625</v>
      </c>
      <c r="Y6" s="787">
        <v>1.6890000000000001</v>
      </c>
      <c r="Z6" s="787">
        <v>1.732</v>
      </c>
      <c r="AA6" s="787">
        <v>1.7783991312849989</v>
      </c>
      <c r="AB6" s="787">
        <v>1.802878128274469</v>
      </c>
      <c r="AC6" s="787">
        <v>1.9442443358886583</v>
      </c>
    </row>
    <row r="7" spans="1:29" x14ac:dyDescent="0.3">
      <c r="A7" s="787">
        <v>2000</v>
      </c>
      <c r="B7" s="787">
        <v>0.876</v>
      </c>
      <c r="C7" s="787">
        <v>0.90200000000000002</v>
      </c>
      <c r="D7" s="787">
        <v>0.92700000000000005</v>
      </c>
      <c r="E7" s="787">
        <v>0.95699999999999996</v>
      </c>
      <c r="F7" s="787">
        <v>0.98099999999999998</v>
      </c>
      <c r="G7" s="787">
        <v>1</v>
      </c>
      <c r="H7" s="787">
        <v>1.0269999999999999</v>
      </c>
      <c r="I7" s="787">
        <v>1.04</v>
      </c>
      <c r="J7" s="787">
        <v>1.071</v>
      </c>
      <c r="K7" s="787">
        <v>1.099</v>
      </c>
      <c r="L7" s="787">
        <v>1.1339999999999999</v>
      </c>
      <c r="M7" s="787">
        <v>1.161</v>
      </c>
      <c r="N7" s="787">
        <v>1.21</v>
      </c>
      <c r="O7" s="787">
        <v>1.2589999999999999</v>
      </c>
      <c r="P7" s="787">
        <v>1.2609999999999999</v>
      </c>
      <c r="Q7" s="787">
        <v>1.3080000000000001</v>
      </c>
      <c r="R7" s="787">
        <v>1.375</v>
      </c>
      <c r="S7" s="787">
        <v>1.429</v>
      </c>
      <c r="T7" s="787">
        <v>1.4750000000000001</v>
      </c>
      <c r="U7" s="787">
        <v>1.516</v>
      </c>
      <c r="V7" s="787">
        <v>1.5329999999999999</v>
      </c>
      <c r="W7" s="787">
        <v>1.5529999999999999</v>
      </c>
      <c r="X7" s="787">
        <v>1.5940000000000001</v>
      </c>
      <c r="Y7" s="787">
        <v>1.657</v>
      </c>
      <c r="Z7" s="787">
        <v>1.6990000000000001</v>
      </c>
      <c r="AA7" s="787">
        <v>1.7442125650107869</v>
      </c>
      <c r="AB7" s="787">
        <v>1.7682209967383959</v>
      </c>
      <c r="AC7" s="787">
        <v>1.9068696899653372</v>
      </c>
    </row>
    <row r="8" spans="1:29" x14ac:dyDescent="0.3">
      <c r="A8" s="787">
        <v>2001</v>
      </c>
      <c r="B8" s="787">
        <v>0.85299999999999998</v>
      </c>
      <c r="C8" s="787">
        <v>0.878</v>
      </c>
      <c r="D8" s="787">
        <v>0.90200000000000002</v>
      </c>
      <c r="E8" s="787">
        <v>0.93200000000000005</v>
      </c>
      <c r="F8" s="787">
        <v>0.95499999999999996</v>
      </c>
      <c r="G8" s="787">
        <v>0.97399999999999998</v>
      </c>
      <c r="H8" s="787">
        <v>1</v>
      </c>
      <c r="I8" s="787">
        <v>1.0129999999999999</v>
      </c>
      <c r="J8" s="787">
        <v>1.0429999999999999</v>
      </c>
      <c r="K8" s="787">
        <v>1.07</v>
      </c>
      <c r="L8" s="787">
        <v>1.1040000000000001</v>
      </c>
      <c r="M8" s="787">
        <v>1.1299999999999999</v>
      </c>
      <c r="N8" s="787">
        <v>1.1779999999999999</v>
      </c>
      <c r="O8" s="787">
        <v>1.226</v>
      </c>
      <c r="P8" s="787">
        <v>1.228</v>
      </c>
      <c r="Q8" s="787">
        <v>1.274</v>
      </c>
      <c r="R8" s="787">
        <v>1.3380000000000001</v>
      </c>
      <c r="S8" s="787">
        <v>1.391</v>
      </c>
      <c r="T8" s="787">
        <v>1.4370000000000001</v>
      </c>
      <c r="U8" s="787">
        <v>1.476</v>
      </c>
      <c r="V8" s="787">
        <v>1.4930000000000001</v>
      </c>
      <c r="W8" s="787">
        <v>1.5129999999999999</v>
      </c>
      <c r="X8" s="787">
        <v>1.552</v>
      </c>
      <c r="Y8" s="787">
        <v>1.613</v>
      </c>
      <c r="Z8" s="787">
        <v>1.6539999999999999</v>
      </c>
      <c r="AA8" s="787">
        <v>1.698356927955976</v>
      </c>
      <c r="AB8" s="787">
        <v>1.7217341740393344</v>
      </c>
      <c r="AC8" s="787">
        <v>1.8567377701707279</v>
      </c>
    </row>
    <row r="9" spans="1:29" x14ac:dyDescent="0.3">
      <c r="A9" s="787">
        <v>2002</v>
      </c>
      <c r="B9" s="787">
        <v>0.84199999999999997</v>
      </c>
      <c r="C9" s="787">
        <v>0.86699999999999999</v>
      </c>
      <c r="D9" s="787">
        <v>0.89100000000000001</v>
      </c>
      <c r="E9" s="787">
        <v>0.92</v>
      </c>
      <c r="F9" s="787">
        <v>0.94299999999999995</v>
      </c>
      <c r="G9" s="787">
        <v>0.96099999999999997</v>
      </c>
      <c r="H9" s="787">
        <v>0.98699999999999999</v>
      </c>
      <c r="I9" s="787">
        <v>1</v>
      </c>
      <c r="J9" s="787">
        <v>1.0289999999999999</v>
      </c>
      <c r="K9" s="787">
        <v>1.0569999999999999</v>
      </c>
      <c r="L9" s="787">
        <v>1.0900000000000001</v>
      </c>
      <c r="M9" s="787">
        <v>1.1160000000000001</v>
      </c>
      <c r="N9" s="787">
        <v>1.163</v>
      </c>
      <c r="O9" s="787">
        <v>1.2110000000000001</v>
      </c>
      <c r="P9" s="787">
        <v>1.212</v>
      </c>
      <c r="Q9" s="787">
        <v>1.2569999999999999</v>
      </c>
      <c r="R9" s="787">
        <v>1.321</v>
      </c>
      <c r="S9" s="787">
        <v>1.373</v>
      </c>
      <c r="T9" s="787">
        <v>1.4179999999999999</v>
      </c>
      <c r="U9" s="787">
        <v>1.458</v>
      </c>
      <c r="V9" s="787">
        <v>1.474</v>
      </c>
      <c r="W9" s="787">
        <v>1.4930000000000001</v>
      </c>
      <c r="X9" s="787">
        <v>1.532</v>
      </c>
      <c r="Y9" s="787">
        <v>1.593</v>
      </c>
      <c r="Z9" s="787">
        <v>1.633</v>
      </c>
      <c r="AA9" s="787">
        <v>1.676727147750001</v>
      </c>
      <c r="AB9" s="787">
        <v>1.6998066680218524</v>
      </c>
      <c r="AC9" s="787">
        <v>1.8330908975917937</v>
      </c>
    </row>
    <row r="10" spans="1:29" x14ac:dyDescent="0.3">
      <c r="A10" s="787">
        <v>2003</v>
      </c>
      <c r="B10" s="787">
        <v>0.81799999999999995</v>
      </c>
      <c r="C10" s="787">
        <v>0.84199999999999997</v>
      </c>
      <c r="D10" s="787">
        <v>0.86499999999999999</v>
      </c>
      <c r="E10" s="787">
        <v>0.89400000000000002</v>
      </c>
      <c r="F10" s="787">
        <v>0.91600000000000004</v>
      </c>
      <c r="G10" s="787">
        <v>0.93400000000000005</v>
      </c>
      <c r="H10" s="787">
        <v>0.95899999999999996</v>
      </c>
      <c r="I10" s="787">
        <v>0.97099999999999997</v>
      </c>
      <c r="J10" s="787">
        <v>1</v>
      </c>
      <c r="K10" s="787">
        <v>1.026</v>
      </c>
      <c r="L10" s="787">
        <v>1.0589999999999999</v>
      </c>
      <c r="M10" s="787">
        <v>1.0840000000000001</v>
      </c>
      <c r="N10" s="787">
        <v>1.1299999999999999</v>
      </c>
      <c r="O10" s="787">
        <v>1.1759999999999999</v>
      </c>
      <c r="P10" s="787">
        <v>1.1779999999999999</v>
      </c>
      <c r="Q10" s="787">
        <v>1.2210000000000001</v>
      </c>
      <c r="R10" s="787">
        <v>1.284</v>
      </c>
      <c r="S10" s="787">
        <v>1.3340000000000001</v>
      </c>
      <c r="T10" s="787">
        <v>1.3779999999999999</v>
      </c>
      <c r="U10" s="787">
        <v>1.4159999999999999</v>
      </c>
      <c r="V10" s="787">
        <v>1.4319999999999999</v>
      </c>
      <c r="W10" s="787">
        <v>1.4510000000000001</v>
      </c>
      <c r="X10" s="787">
        <v>1.488</v>
      </c>
      <c r="Y10" s="787">
        <v>1.5469999999999999</v>
      </c>
      <c r="Z10" s="787">
        <v>1.5860000000000001</v>
      </c>
      <c r="AA10" s="787">
        <v>1.628839273120265</v>
      </c>
      <c r="AB10" s="787">
        <v>1.6512596347599109</v>
      </c>
      <c r="AC10" s="787">
        <v>1.780737223228865</v>
      </c>
    </row>
    <row r="11" spans="1:29" x14ac:dyDescent="0.3">
      <c r="A11" s="787">
        <v>2004</v>
      </c>
      <c r="B11" s="787">
        <v>0.79700000000000004</v>
      </c>
      <c r="C11" s="787">
        <v>0.82</v>
      </c>
      <c r="D11" s="787">
        <v>0.84299999999999997</v>
      </c>
      <c r="E11" s="787">
        <v>0.871</v>
      </c>
      <c r="F11" s="787">
        <v>0.89200000000000002</v>
      </c>
      <c r="G11" s="787">
        <v>0.91</v>
      </c>
      <c r="H11" s="787">
        <v>0.93400000000000005</v>
      </c>
      <c r="I11" s="787">
        <v>0.94599999999999995</v>
      </c>
      <c r="J11" s="787">
        <v>0.97399999999999998</v>
      </c>
      <c r="K11" s="787">
        <v>1</v>
      </c>
      <c r="L11" s="787">
        <v>1.032</v>
      </c>
      <c r="M11" s="787">
        <v>1.056</v>
      </c>
      <c r="N11" s="787">
        <v>1.101</v>
      </c>
      <c r="O11" s="787">
        <v>1.1459999999999999</v>
      </c>
      <c r="P11" s="787">
        <v>1.147</v>
      </c>
      <c r="Q11" s="787">
        <v>1.19</v>
      </c>
      <c r="R11" s="787">
        <v>1.2509999999999999</v>
      </c>
      <c r="S11" s="787">
        <v>1.3</v>
      </c>
      <c r="T11" s="787">
        <v>1.3420000000000001</v>
      </c>
      <c r="U11" s="787">
        <v>1.38</v>
      </c>
      <c r="V11" s="787">
        <v>1.395</v>
      </c>
      <c r="W11" s="787">
        <v>1.413</v>
      </c>
      <c r="X11" s="787">
        <v>1.45</v>
      </c>
      <c r="Y11" s="787">
        <v>1.5069999999999999</v>
      </c>
      <c r="Z11" s="787">
        <v>1.546</v>
      </c>
      <c r="AA11" s="787">
        <v>1.587098580454317</v>
      </c>
      <c r="AB11" s="787">
        <v>1.6089443971157666</v>
      </c>
      <c r="AC11" s="787">
        <v>1.7351039883356381</v>
      </c>
    </row>
    <row r="12" spans="1:29" x14ac:dyDescent="0.3">
      <c r="A12" s="787">
        <v>2005</v>
      </c>
      <c r="B12" s="787">
        <v>0.77300000000000002</v>
      </c>
      <c r="C12" s="787">
        <v>0.79500000000000004</v>
      </c>
      <c r="D12" s="787">
        <v>0.81699999999999995</v>
      </c>
      <c r="E12" s="787">
        <v>0.84399999999999997</v>
      </c>
      <c r="F12" s="787">
        <v>0.86499999999999999</v>
      </c>
      <c r="G12" s="787">
        <v>0.88200000000000001</v>
      </c>
      <c r="H12" s="787">
        <v>0.90600000000000003</v>
      </c>
      <c r="I12" s="787">
        <v>0.91700000000000004</v>
      </c>
      <c r="J12" s="787">
        <v>0.94399999999999995</v>
      </c>
      <c r="K12" s="787">
        <v>0.96899999999999997</v>
      </c>
      <c r="L12" s="787">
        <v>1</v>
      </c>
      <c r="M12" s="787">
        <v>1.024</v>
      </c>
      <c r="N12" s="787">
        <v>1.0669999999999999</v>
      </c>
      <c r="O12" s="787">
        <v>1.111</v>
      </c>
      <c r="P12" s="787">
        <v>1.1120000000000001</v>
      </c>
      <c r="Q12" s="787">
        <v>1.1539999999999999</v>
      </c>
      <c r="R12" s="787">
        <v>1.212</v>
      </c>
      <c r="S12" s="787">
        <v>1.26</v>
      </c>
      <c r="T12" s="787">
        <v>1.3009999999999999</v>
      </c>
      <c r="U12" s="787">
        <v>1.337</v>
      </c>
      <c r="V12" s="787">
        <v>1.3520000000000001</v>
      </c>
      <c r="W12" s="787">
        <v>1.37</v>
      </c>
      <c r="X12" s="787">
        <v>1.4059999999999999</v>
      </c>
      <c r="Y12" s="787">
        <v>1.4610000000000001</v>
      </c>
      <c r="Z12" s="787">
        <v>1.498</v>
      </c>
      <c r="AA12" s="787">
        <v>1.5383334113156117</v>
      </c>
      <c r="AB12" s="787">
        <v>1.5595079937150007</v>
      </c>
      <c r="AC12" s="787">
        <v>1.681791207071472</v>
      </c>
    </row>
    <row r="13" spans="1:29" x14ac:dyDescent="0.3">
      <c r="A13" s="787">
        <v>2006</v>
      </c>
      <c r="B13" s="787">
        <v>0.755</v>
      </c>
      <c r="C13" s="787">
        <v>0.77700000000000002</v>
      </c>
      <c r="D13" s="787">
        <v>0.79800000000000004</v>
      </c>
      <c r="E13" s="787">
        <v>0.82499999999999996</v>
      </c>
      <c r="F13" s="787">
        <v>0.84499999999999997</v>
      </c>
      <c r="G13" s="787">
        <v>0.86099999999999999</v>
      </c>
      <c r="H13" s="787">
        <v>0.88500000000000001</v>
      </c>
      <c r="I13" s="787">
        <v>0.89600000000000002</v>
      </c>
      <c r="J13" s="787">
        <v>0.92200000000000004</v>
      </c>
      <c r="K13" s="787">
        <v>0.94699999999999995</v>
      </c>
      <c r="L13" s="787">
        <v>0.97699999999999998</v>
      </c>
      <c r="M13" s="787">
        <v>1</v>
      </c>
      <c r="N13" s="787">
        <v>1.042</v>
      </c>
      <c r="O13" s="787">
        <v>1.085</v>
      </c>
      <c r="P13" s="787">
        <v>1.0860000000000001</v>
      </c>
      <c r="Q13" s="787">
        <v>1.127</v>
      </c>
      <c r="R13" s="787">
        <v>1.1839999999999999</v>
      </c>
      <c r="S13" s="787">
        <v>1.2310000000000001</v>
      </c>
      <c r="T13" s="787">
        <v>1.2709999999999999</v>
      </c>
      <c r="U13" s="787">
        <v>1.306</v>
      </c>
      <c r="V13" s="787">
        <v>1.321</v>
      </c>
      <c r="W13" s="787">
        <v>1.3380000000000001</v>
      </c>
      <c r="X13" s="787">
        <v>1.373</v>
      </c>
      <c r="Y13" s="787">
        <v>1.427</v>
      </c>
      <c r="Z13" s="787">
        <v>1.4630000000000001</v>
      </c>
      <c r="AA13" s="787">
        <v>1.502572193119371</v>
      </c>
      <c r="AB13" s="787">
        <v>1.5232545357638221</v>
      </c>
      <c r="AC13" s="787">
        <v>1.6426950645355269</v>
      </c>
    </row>
    <row r="14" spans="1:29" x14ac:dyDescent="0.3">
      <c r="A14" s="787">
        <v>2007</v>
      </c>
      <c r="B14" s="787">
        <v>0.72399999999999998</v>
      </c>
      <c r="C14" s="787">
        <v>0.745</v>
      </c>
      <c r="D14" s="787">
        <v>0.76600000000000001</v>
      </c>
      <c r="E14" s="787">
        <v>0.79100000000000004</v>
      </c>
      <c r="F14" s="787">
        <v>0.81100000000000005</v>
      </c>
      <c r="G14" s="787">
        <v>0.82599999999999996</v>
      </c>
      <c r="H14" s="787">
        <v>0.84899999999999998</v>
      </c>
      <c r="I14" s="787">
        <v>0.86</v>
      </c>
      <c r="J14" s="787">
        <v>0.88500000000000001</v>
      </c>
      <c r="K14" s="787">
        <v>0.90800000000000003</v>
      </c>
      <c r="L14" s="787">
        <v>0.93700000000000006</v>
      </c>
      <c r="M14" s="787">
        <v>0.95899999999999996</v>
      </c>
      <c r="N14" s="787">
        <v>1</v>
      </c>
      <c r="O14" s="787">
        <v>1.0409999999999999</v>
      </c>
      <c r="P14" s="787">
        <v>1.042</v>
      </c>
      <c r="Q14" s="787">
        <v>1.081</v>
      </c>
      <c r="R14" s="787">
        <v>1.1359999999999999</v>
      </c>
      <c r="S14" s="787">
        <v>1.181</v>
      </c>
      <c r="T14" s="787">
        <v>1.2190000000000001</v>
      </c>
      <c r="U14" s="787">
        <v>1.2529999999999999</v>
      </c>
      <c r="V14" s="787">
        <v>1.2669999999999999</v>
      </c>
      <c r="W14" s="787">
        <v>1.284</v>
      </c>
      <c r="X14" s="787">
        <v>1.3169999999999999</v>
      </c>
      <c r="Y14" s="787">
        <v>1.369</v>
      </c>
      <c r="Z14" s="787">
        <v>1.4039999999999999</v>
      </c>
      <c r="AA14" s="787">
        <v>1.4414545214115224</v>
      </c>
      <c r="AB14" s="787">
        <v>1.4612956022292998</v>
      </c>
      <c r="AC14" s="787">
        <v>1.5758778439519636</v>
      </c>
    </row>
    <row r="15" spans="1:29" x14ac:dyDescent="0.3">
      <c r="A15" s="787">
        <v>2008</v>
      </c>
      <c r="B15" s="787">
        <v>0.69599999999999995</v>
      </c>
      <c r="C15" s="787">
        <v>0.71599999999999997</v>
      </c>
      <c r="D15" s="787">
        <v>0.73599999999999999</v>
      </c>
      <c r="E15" s="787">
        <v>0.76</v>
      </c>
      <c r="F15" s="787">
        <v>0.77900000000000003</v>
      </c>
      <c r="G15" s="787">
        <v>0.79400000000000004</v>
      </c>
      <c r="H15" s="787">
        <v>0.81599999999999995</v>
      </c>
      <c r="I15" s="787">
        <v>0.82599999999999996</v>
      </c>
      <c r="J15" s="787">
        <v>0.85</v>
      </c>
      <c r="K15" s="787">
        <v>0.873</v>
      </c>
      <c r="L15" s="787">
        <v>0.9</v>
      </c>
      <c r="M15" s="787">
        <v>0.92200000000000004</v>
      </c>
      <c r="N15" s="787">
        <v>0.96099999999999997</v>
      </c>
      <c r="O15" s="787">
        <v>1</v>
      </c>
      <c r="P15" s="787">
        <v>1.0009999999999999</v>
      </c>
      <c r="Q15" s="787">
        <v>1.0389999999999999</v>
      </c>
      <c r="R15" s="787">
        <v>1.0920000000000001</v>
      </c>
      <c r="S15" s="787">
        <v>1.1339999999999999</v>
      </c>
      <c r="T15" s="787">
        <v>1.1719999999999999</v>
      </c>
      <c r="U15" s="787">
        <v>1.204</v>
      </c>
      <c r="V15" s="787">
        <v>1.2170000000000001</v>
      </c>
      <c r="W15" s="787">
        <v>1.234</v>
      </c>
      <c r="X15" s="787">
        <v>1.2649999999999999</v>
      </c>
      <c r="Y15" s="787">
        <v>1.3160000000000001</v>
      </c>
      <c r="Z15" s="787">
        <v>1.349</v>
      </c>
      <c r="AA15" s="787">
        <v>1.3850816963692922</v>
      </c>
      <c r="AB15" s="787">
        <v>1.4041468263950223</v>
      </c>
      <c r="AC15" s="787">
        <v>1.5142479522936134</v>
      </c>
    </row>
    <row r="16" spans="1:29" x14ac:dyDescent="0.3">
      <c r="A16" s="787">
        <v>2009</v>
      </c>
      <c r="B16" s="787">
        <v>0.69499999999999995</v>
      </c>
      <c r="C16" s="787">
        <v>0.71499999999999997</v>
      </c>
      <c r="D16" s="787">
        <v>0.73499999999999999</v>
      </c>
      <c r="E16" s="787">
        <v>0.75900000000000001</v>
      </c>
      <c r="F16" s="787">
        <v>0.77800000000000002</v>
      </c>
      <c r="G16" s="787">
        <v>0.79300000000000004</v>
      </c>
      <c r="H16" s="787">
        <v>0.81399999999999995</v>
      </c>
      <c r="I16" s="787">
        <v>0.82499999999999996</v>
      </c>
      <c r="J16" s="787">
        <v>0.84899999999999998</v>
      </c>
      <c r="K16" s="787">
        <v>0.871</v>
      </c>
      <c r="L16" s="787">
        <v>0.89900000000000002</v>
      </c>
      <c r="M16" s="787">
        <v>0.92100000000000004</v>
      </c>
      <c r="N16" s="787">
        <v>0.96</v>
      </c>
      <c r="O16" s="787">
        <v>0.999</v>
      </c>
      <c r="P16" s="787">
        <v>1</v>
      </c>
      <c r="Q16" s="787">
        <v>1.0369999999999999</v>
      </c>
      <c r="R16" s="787">
        <v>1.0900000000000001</v>
      </c>
      <c r="S16" s="787">
        <v>1.133</v>
      </c>
      <c r="T16" s="787">
        <v>1.17</v>
      </c>
      <c r="U16" s="787">
        <v>1.202</v>
      </c>
      <c r="V16" s="787">
        <v>1.216</v>
      </c>
      <c r="W16" s="787">
        <v>1.232</v>
      </c>
      <c r="X16" s="787">
        <v>1.264</v>
      </c>
      <c r="Y16" s="787">
        <v>1.3140000000000001</v>
      </c>
      <c r="Z16" s="787">
        <v>1.347</v>
      </c>
      <c r="AA16" s="787">
        <v>1.383145292959149</v>
      </c>
      <c r="AB16" s="787">
        <v>1.4021837691182564</v>
      </c>
      <c r="AC16" s="787">
        <v>1.5121309689371012</v>
      </c>
    </row>
    <row r="17" spans="1:30" x14ac:dyDescent="0.3">
      <c r="A17" s="787">
        <v>2010</v>
      </c>
      <c r="B17" s="787">
        <v>0.67</v>
      </c>
      <c r="C17" s="787">
        <v>0.68899999999999995</v>
      </c>
      <c r="D17" s="787">
        <v>0.70899999999999996</v>
      </c>
      <c r="E17" s="787">
        <v>0.73199999999999998</v>
      </c>
      <c r="F17" s="787">
        <v>0.75</v>
      </c>
      <c r="G17" s="787">
        <v>0.76500000000000001</v>
      </c>
      <c r="H17" s="787">
        <v>0.78500000000000003</v>
      </c>
      <c r="I17" s="787">
        <v>0.79500000000000004</v>
      </c>
      <c r="J17" s="787">
        <v>0.81899999999999995</v>
      </c>
      <c r="K17" s="787">
        <v>0.84</v>
      </c>
      <c r="L17" s="787">
        <v>0.86699999999999999</v>
      </c>
      <c r="M17" s="787">
        <v>0.88800000000000001</v>
      </c>
      <c r="N17" s="787">
        <v>0.92500000000000004</v>
      </c>
      <c r="O17" s="787">
        <v>0.96299999999999997</v>
      </c>
      <c r="P17" s="787">
        <v>0.96399999999999997</v>
      </c>
      <c r="Q17" s="787">
        <v>1</v>
      </c>
      <c r="R17" s="787">
        <v>1.0509999999999999</v>
      </c>
      <c r="S17" s="787">
        <v>1.0920000000000001</v>
      </c>
      <c r="T17" s="787">
        <v>1.1279999999999999</v>
      </c>
      <c r="U17" s="787">
        <v>1.159</v>
      </c>
      <c r="V17" s="787">
        <v>1.1719999999999999</v>
      </c>
      <c r="W17" s="787">
        <v>1.1879999999999999</v>
      </c>
      <c r="X17" s="787">
        <v>1.218</v>
      </c>
      <c r="Y17" s="787">
        <v>1.2669999999999999</v>
      </c>
      <c r="Z17" s="787">
        <v>1.2989999999999999</v>
      </c>
      <c r="AA17" s="787">
        <v>1.3336662741868186</v>
      </c>
      <c r="AB17" s="787">
        <v>1.3520236902114136</v>
      </c>
      <c r="AC17" s="787">
        <v>1.4580377677534488</v>
      </c>
    </row>
    <row r="18" spans="1:30" x14ac:dyDescent="0.3">
      <c r="A18" s="787">
        <v>2011</v>
      </c>
      <c r="B18" s="787">
        <v>0.63800000000000001</v>
      </c>
      <c r="C18" s="787">
        <v>0.65600000000000003</v>
      </c>
      <c r="D18" s="787">
        <v>0.67400000000000004</v>
      </c>
      <c r="E18" s="787">
        <v>0.69699999999999995</v>
      </c>
      <c r="F18" s="787">
        <v>0.71399999999999997</v>
      </c>
      <c r="G18" s="787">
        <v>0.72799999999999998</v>
      </c>
      <c r="H18" s="787">
        <v>0.747</v>
      </c>
      <c r="I18" s="787">
        <v>0.75700000000000001</v>
      </c>
      <c r="J18" s="787">
        <v>0.77900000000000003</v>
      </c>
      <c r="K18" s="787">
        <v>0.8</v>
      </c>
      <c r="L18" s="787">
        <v>0.82499999999999996</v>
      </c>
      <c r="M18" s="787">
        <v>0.84499999999999997</v>
      </c>
      <c r="N18" s="787">
        <v>0.88</v>
      </c>
      <c r="O18" s="787">
        <v>0.91600000000000004</v>
      </c>
      <c r="P18" s="787">
        <v>0.91700000000000004</v>
      </c>
      <c r="Q18" s="787">
        <v>0.95199999999999996</v>
      </c>
      <c r="R18" s="787">
        <v>1</v>
      </c>
      <c r="S18" s="787">
        <v>1.0389999999999999</v>
      </c>
      <c r="T18" s="787">
        <v>1.073</v>
      </c>
      <c r="U18" s="787">
        <v>1.103</v>
      </c>
      <c r="V18" s="787">
        <v>1.115</v>
      </c>
      <c r="W18" s="787">
        <v>1.1299999999999999</v>
      </c>
      <c r="X18" s="787">
        <v>1.159</v>
      </c>
      <c r="Y18" s="787">
        <v>1.2050000000000001</v>
      </c>
      <c r="Z18" s="787">
        <v>1.236</v>
      </c>
      <c r="AA18" s="787">
        <v>1.2690705815841836</v>
      </c>
      <c r="AB18" s="787">
        <v>1.286538862129045</v>
      </c>
      <c r="AC18" s="787">
        <v>1.3874181822756195</v>
      </c>
    </row>
    <row r="19" spans="1:30" x14ac:dyDescent="0.3">
      <c r="A19" s="787">
        <v>2012</v>
      </c>
      <c r="B19" s="787">
        <v>0.61299999999999999</v>
      </c>
      <c r="C19" s="787">
        <v>0.63100000000000001</v>
      </c>
      <c r="D19" s="787">
        <v>0.64900000000000002</v>
      </c>
      <c r="E19" s="787">
        <v>0.67</v>
      </c>
      <c r="F19" s="787">
        <v>0.68700000000000006</v>
      </c>
      <c r="G19" s="787">
        <v>0.7</v>
      </c>
      <c r="H19" s="787">
        <v>0.71899999999999997</v>
      </c>
      <c r="I19" s="787">
        <v>0.72799999999999998</v>
      </c>
      <c r="J19" s="787">
        <v>0.75</v>
      </c>
      <c r="K19" s="787">
        <v>0.76900000000000002</v>
      </c>
      <c r="L19" s="787">
        <v>0.79400000000000004</v>
      </c>
      <c r="M19" s="787">
        <v>0.81299999999999994</v>
      </c>
      <c r="N19" s="787">
        <v>0.84699999999999998</v>
      </c>
      <c r="O19" s="787">
        <v>0.88200000000000001</v>
      </c>
      <c r="P19" s="787">
        <v>0.88300000000000001</v>
      </c>
      <c r="Q19" s="787">
        <v>0.91600000000000004</v>
      </c>
      <c r="R19" s="787">
        <v>0.96199999999999997</v>
      </c>
      <c r="S19" s="787">
        <v>1</v>
      </c>
      <c r="T19" s="787">
        <v>1.0329999999999999</v>
      </c>
      <c r="U19" s="787">
        <v>1.0609999999999999</v>
      </c>
      <c r="V19" s="787">
        <v>1.073</v>
      </c>
      <c r="W19" s="787">
        <v>1.087</v>
      </c>
      <c r="X19" s="787">
        <v>1.1160000000000001</v>
      </c>
      <c r="Y19" s="787">
        <v>1.1599999999999999</v>
      </c>
      <c r="Z19" s="787">
        <v>1.1890000000000001</v>
      </c>
      <c r="AA19" s="787">
        <v>1.2210820567537608</v>
      </c>
      <c r="AB19" s="787">
        <v>1.2378897932541568</v>
      </c>
      <c r="AC19" s="787">
        <v>1.334954471543943</v>
      </c>
    </row>
    <row r="20" spans="1:30" x14ac:dyDescent="0.3">
      <c r="A20" s="787">
        <v>2013</v>
      </c>
      <c r="B20" s="787">
        <v>0.59399999999999997</v>
      </c>
      <c r="C20" s="787">
        <v>0.61099999999999999</v>
      </c>
      <c r="D20" s="787">
        <v>0.628</v>
      </c>
      <c r="E20" s="787">
        <v>0.64900000000000002</v>
      </c>
      <c r="F20" s="787">
        <v>0.66500000000000004</v>
      </c>
      <c r="G20" s="787">
        <v>0.67800000000000005</v>
      </c>
      <c r="H20" s="787">
        <v>0.69599999999999995</v>
      </c>
      <c r="I20" s="787">
        <v>0.70499999999999996</v>
      </c>
      <c r="J20" s="787">
        <v>0.72599999999999998</v>
      </c>
      <c r="K20" s="787">
        <v>0.745</v>
      </c>
      <c r="L20" s="787">
        <v>0.76900000000000002</v>
      </c>
      <c r="M20" s="787">
        <v>0.78700000000000003</v>
      </c>
      <c r="N20" s="787">
        <v>0.82</v>
      </c>
      <c r="O20" s="787">
        <v>0.85399999999999998</v>
      </c>
      <c r="P20" s="787">
        <v>0.85499999999999998</v>
      </c>
      <c r="Q20" s="787">
        <v>0.88600000000000001</v>
      </c>
      <c r="R20" s="787">
        <v>0.93200000000000005</v>
      </c>
      <c r="S20" s="787">
        <v>0.96799999999999997</v>
      </c>
      <c r="T20" s="787">
        <v>1</v>
      </c>
      <c r="U20" s="787">
        <v>1.028</v>
      </c>
      <c r="V20" s="787">
        <v>1.0389999999999999</v>
      </c>
      <c r="W20" s="787">
        <v>1.0529999999999999</v>
      </c>
      <c r="X20" s="787">
        <v>1.08</v>
      </c>
      <c r="Y20" s="787">
        <v>1.123</v>
      </c>
      <c r="Z20" s="787">
        <v>1.151</v>
      </c>
      <c r="AA20" s="787">
        <v>1.1823025336500397</v>
      </c>
      <c r="AB20" s="787">
        <v>1.1985764845605702</v>
      </c>
      <c r="AC20" s="787">
        <v>1.2925585510688835</v>
      </c>
    </row>
    <row r="21" spans="1:30" x14ac:dyDescent="0.3">
      <c r="A21" s="787">
        <v>2014</v>
      </c>
      <c r="B21" s="787">
        <v>0.57799999999999996</v>
      </c>
      <c r="C21" s="787">
        <v>0.59499999999999997</v>
      </c>
      <c r="D21" s="787">
        <v>0.61099999999999999</v>
      </c>
      <c r="E21" s="787">
        <v>0.63100000000000001</v>
      </c>
      <c r="F21" s="787">
        <v>0.64700000000000002</v>
      </c>
      <c r="G21" s="787">
        <v>0.66</v>
      </c>
      <c r="H21" s="787">
        <v>0.67700000000000005</v>
      </c>
      <c r="I21" s="787">
        <v>0.68600000000000005</v>
      </c>
      <c r="J21" s="787">
        <v>0.70599999999999996</v>
      </c>
      <c r="K21" s="787">
        <v>0.72499999999999998</v>
      </c>
      <c r="L21" s="787">
        <v>0.748</v>
      </c>
      <c r="M21" s="787">
        <v>0.76600000000000001</v>
      </c>
      <c r="N21" s="787">
        <v>0.79800000000000004</v>
      </c>
      <c r="O21" s="787">
        <v>0.83099999999999996</v>
      </c>
      <c r="P21" s="787">
        <v>0.83199999999999996</v>
      </c>
      <c r="Q21" s="787">
        <v>0.86299999999999999</v>
      </c>
      <c r="R21" s="787">
        <v>0.90700000000000003</v>
      </c>
      <c r="S21" s="787">
        <v>0.94199999999999995</v>
      </c>
      <c r="T21" s="787">
        <v>0.97299999999999998</v>
      </c>
      <c r="U21" s="787">
        <v>1</v>
      </c>
      <c r="V21" s="787">
        <v>1.0109999999999999</v>
      </c>
      <c r="W21" s="787">
        <v>1.0249999999999999</v>
      </c>
      <c r="X21" s="787">
        <v>1.0509999999999999</v>
      </c>
      <c r="Y21" s="787">
        <v>1.093</v>
      </c>
      <c r="Z21" s="787">
        <v>1.1200000000000001</v>
      </c>
      <c r="AA21" s="787">
        <v>1.1504354711005544</v>
      </c>
      <c r="AB21" s="787">
        <v>1.1662707838479813</v>
      </c>
      <c r="AC21" s="787">
        <v>1.2577197149643706</v>
      </c>
    </row>
    <row r="22" spans="1:30" x14ac:dyDescent="0.3">
      <c r="A22" s="787">
        <v>2015</v>
      </c>
      <c r="B22" s="787">
        <v>0.57199999999999995</v>
      </c>
      <c r="C22" s="787">
        <v>0.58799999999999997</v>
      </c>
      <c r="D22" s="787">
        <v>0.60499999999999998</v>
      </c>
      <c r="E22" s="787">
        <v>0.625</v>
      </c>
      <c r="F22" s="787">
        <v>0.64</v>
      </c>
      <c r="G22" s="787">
        <v>0.65200000000000002</v>
      </c>
      <c r="H22" s="787">
        <v>0.67</v>
      </c>
      <c r="I22" s="787">
        <v>0.67900000000000005</v>
      </c>
      <c r="J22" s="787">
        <v>0.69899999999999995</v>
      </c>
      <c r="K22" s="787">
        <v>0.71699999999999997</v>
      </c>
      <c r="L22" s="787">
        <v>0.74</v>
      </c>
      <c r="M22" s="787">
        <v>0.75700000000000001</v>
      </c>
      <c r="N22" s="787">
        <v>0.78900000000000003</v>
      </c>
      <c r="O22" s="787">
        <v>0.82099999999999995</v>
      </c>
      <c r="P22" s="787">
        <v>0.82299999999999995</v>
      </c>
      <c r="Q22" s="787">
        <v>0.85299999999999998</v>
      </c>
      <c r="R22" s="787">
        <v>0.89700000000000002</v>
      </c>
      <c r="S22" s="787">
        <v>0.93200000000000005</v>
      </c>
      <c r="T22" s="787">
        <v>0.96199999999999997</v>
      </c>
      <c r="U22" s="787">
        <v>0.98899999999999999</v>
      </c>
      <c r="V22" s="787">
        <v>1</v>
      </c>
      <c r="W22" s="787">
        <v>1.0129999999999999</v>
      </c>
      <c r="X22" s="787">
        <v>1.04</v>
      </c>
      <c r="Y22" s="787">
        <v>1.081</v>
      </c>
      <c r="Z22" s="787">
        <v>1.1080000000000001</v>
      </c>
      <c r="AA22" s="787">
        <v>1.1378230227094752</v>
      </c>
      <c r="AB22" s="787">
        <v>1.1534847298355519</v>
      </c>
      <c r="AC22" s="787">
        <v>1.243931088488645</v>
      </c>
    </row>
    <row r="23" spans="1:30" x14ac:dyDescent="0.3">
      <c r="A23" s="787">
        <v>2016</v>
      </c>
      <c r="B23" s="787">
        <v>0.56399999999999995</v>
      </c>
      <c r="C23" s="787">
        <v>0.57999999999999996</v>
      </c>
      <c r="D23" s="787">
        <v>0.59699999999999998</v>
      </c>
      <c r="E23" s="787">
        <v>0.61599999999999999</v>
      </c>
      <c r="F23" s="787">
        <v>0.63100000000000001</v>
      </c>
      <c r="G23" s="787">
        <v>0.64400000000000002</v>
      </c>
      <c r="H23" s="787">
        <v>0.66100000000000003</v>
      </c>
      <c r="I23" s="787">
        <v>0.67</v>
      </c>
      <c r="J23" s="787">
        <v>0.68899999999999995</v>
      </c>
      <c r="K23" s="787">
        <v>0.70699999999999996</v>
      </c>
      <c r="L23" s="787">
        <v>0.73</v>
      </c>
      <c r="M23" s="787">
        <v>0.747</v>
      </c>
      <c r="N23" s="787">
        <v>0.77900000000000003</v>
      </c>
      <c r="O23" s="787">
        <v>0.81100000000000005</v>
      </c>
      <c r="P23" s="787">
        <v>0.81200000000000006</v>
      </c>
      <c r="Q23" s="787">
        <v>0.84199999999999997</v>
      </c>
      <c r="R23" s="787">
        <v>0.88500000000000001</v>
      </c>
      <c r="S23" s="787">
        <v>0.92</v>
      </c>
      <c r="T23" s="787">
        <v>0.95</v>
      </c>
      <c r="U23" s="787">
        <v>0.97599999999999998</v>
      </c>
      <c r="V23" s="787">
        <v>0.98699999999999999</v>
      </c>
      <c r="W23" s="787">
        <v>1</v>
      </c>
      <c r="X23" s="787">
        <v>1.026</v>
      </c>
      <c r="Y23" s="787">
        <v>1.0660000000000001</v>
      </c>
      <c r="Z23" s="787">
        <v>1.0940000000000001</v>
      </c>
      <c r="AA23" s="787">
        <v>1.1228748068006182</v>
      </c>
      <c r="AB23" s="787">
        <v>1.1383307573415766</v>
      </c>
      <c r="AC23" s="787">
        <v>1.2275888717156105</v>
      </c>
    </row>
    <row r="24" spans="1:30" x14ac:dyDescent="0.3">
      <c r="A24" s="787">
        <v>2017</v>
      </c>
      <c r="B24" s="787">
        <v>0.55000000000000004</v>
      </c>
      <c r="C24" s="787">
        <v>0.56599999999999995</v>
      </c>
      <c r="D24" s="787">
        <v>0.58199999999999996</v>
      </c>
      <c r="E24" s="787">
        <v>0.60099999999999998</v>
      </c>
      <c r="F24" s="787">
        <v>0.61499999999999999</v>
      </c>
      <c r="G24" s="787">
        <v>0.627</v>
      </c>
      <c r="H24" s="787">
        <v>0.64400000000000002</v>
      </c>
      <c r="I24" s="787">
        <v>0.65300000000000002</v>
      </c>
      <c r="J24" s="787">
        <v>0.67200000000000004</v>
      </c>
      <c r="K24" s="787">
        <v>0.69</v>
      </c>
      <c r="L24" s="787">
        <v>0.71099999999999997</v>
      </c>
      <c r="M24" s="787">
        <v>0.72799999999999998</v>
      </c>
      <c r="N24" s="787">
        <v>0.75900000000000001</v>
      </c>
      <c r="O24" s="787">
        <v>0.79</v>
      </c>
      <c r="P24" s="787">
        <v>0.79100000000000004</v>
      </c>
      <c r="Q24" s="787">
        <v>0.82099999999999995</v>
      </c>
      <c r="R24" s="787">
        <v>0.86299999999999999</v>
      </c>
      <c r="S24" s="787">
        <v>0.89600000000000002</v>
      </c>
      <c r="T24" s="787">
        <v>0.92600000000000005</v>
      </c>
      <c r="U24" s="787">
        <v>0.95099999999999996</v>
      </c>
      <c r="V24" s="787">
        <v>0.96199999999999997</v>
      </c>
      <c r="W24" s="787">
        <v>0.97499999999999998</v>
      </c>
      <c r="X24" s="787">
        <v>1</v>
      </c>
      <c r="Y24" s="787">
        <v>1.04</v>
      </c>
      <c r="Z24" s="787">
        <v>1.0660000000000001</v>
      </c>
      <c r="AA24" s="787">
        <v>1.0945386064030131</v>
      </c>
      <c r="AB24" s="787">
        <v>1.1096045197740112</v>
      </c>
      <c r="AC24" s="787">
        <v>1.1966101694915252</v>
      </c>
    </row>
    <row r="25" spans="1:30" x14ac:dyDescent="0.3">
      <c r="A25" s="787">
        <v>2018</v>
      </c>
      <c r="B25" s="787">
        <v>0.52900000000000003</v>
      </c>
      <c r="C25" s="787">
        <v>0.54400000000000004</v>
      </c>
      <c r="D25" s="787">
        <v>0.55900000000000005</v>
      </c>
      <c r="E25" s="787">
        <v>0.57799999999999996</v>
      </c>
      <c r="F25" s="787">
        <v>0.59199999999999997</v>
      </c>
      <c r="G25" s="787">
        <v>0.60399999999999998</v>
      </c>
      <c r="H25" s="787">
        <v>0.62</v>
      </c>
      <c r="I25" s="787">
        <v>0.628</v>
      </c>
      <c r="J25" s="787">
        <v>0.64600000000000002</v>
      </c>
      <c r="K25" s="787">
        <v>0.66300000000000003</v>
      </c>
      <c r="L25" s="787">
        <v>0.68400000000000005</v>
      </c>
      <c r="M25" s="787">
        <v>0.70099999999999996</v>
      </c>
      <c r="N25" s="787">
        <v>0.73</v>
      </c>
      <c r="O25" s="787">
        <v>0.76</v>
      </c>
      <c r="P25" s="787">
        <v>0.76100000000000001</v>
      </c>
      <c r="Q25" s="787">
        <v>0.78900000000000003</v>
      </c>
      <c r="R25" s="787">
        <v>0.83</v>
      </c>
      <c r="S25" s="787">
        <v>0.86199999999999999</v>
      </c>
      <c r="T25" s="787">
        <v>0.89100000000000001</v>
      </c>
      <c r="U25" s="787">
        <v>0.91500000000000004</v>
      </c>
      <c r="V25" s="787">
        <v>0.92500000000000004</v>
      </c>
      <c r="W25" s="787">
        <v>0.93799999999999994</v>
      </c>
      <c r="X25" s="787">
        <v>0.96199999999999997</v>
      </c>
      <c r="Y25" s="787">
        <v>1</v>
      </c>
      <c r="Z25" s="787">
        <v>1.0249999999999999</v>
      </c>
      <c r="AA25" s="787">
        <v>1.0528985507246376</v>
      </c>
      <c r="AB25" s="787">
        <v>1.067391304347826</v>
      </c>
      <c r="AC25" s="787">
        <v>1.151086956521739</v>
      </c>
    </row>
    <row r="26" spans="1:30" x14ac:dyDescent="0.3">
      <c r="A26" s="787">
        <v>2019</v>
      </c>
      <c r="B26" s="787">
        <v>0.51600000000000001</v>
      </c>
      <c r="C26" s="787">
        <v>0.53100000000000003</v>
      </c>
      <c r="D26" s="787">
        <v>0.54500000000000004</v>
      </c>
      <c r="E26" s="787">
        <v>1.5629999999999999</v>
      </c>
      <c r="F26" s="787">
        <v>0.57699999999999996</v>
      </c>
      <c r="G26" s="787">
        <v>0.58899999999999997</v>
      </c>
      <c r="H26" s="787">
        <v>0.60399999999999998</v>
      </c>
      <c r="I26" s="787">
        <v>0.61199999999999999</v>
      </c>
      <c r="J26" s="787">
        <v>0.63</v>
      </c>
      <c r="K26" s="787">
        <v>0.64700000000000002</v>
      </c>
      <c r="L26" s="787">
        <v>0.66700000000000004</v>
      </c>
      <c r="M26" s="787">
        <v>0.68400000000000005</v>
      </c>
      <c r="N26" s="787">
        <v>0.71199999999999997</v>
      </c>
      <c r="O26" s="787">
        <v>0.74099999999999999</v>
      </c>
      <c r="P26" s="787">
        <v>0.74199999999999999</v>
      </c>
      <c r="Q26" s="787">
        <v>0.76900000000000002</v>
      </c>
      <c r="R26" s="787">
        <v>0.80900000000000005</v>
      </c>
      <c r="S26" s="787">
        <v>0.84099999999999997</v>
      </c>
      <c r="T26" s="787">
        <v>0.86899999999999999</v>
      </c>
      <c r="U26" s="787">
        <v>0.89200000000000002</v>
      </c>
      <c r="V26" s="787">
        <v>0.90200000000000002</v>
      </c>
      <c r="W26" s="787">
        <v>0.91500000000000004</v>
      </c>
      <c r="X26" s="787">
        <v>0.93799999999999994</v>
      </c>
      <c r="Y26" s="787">
        <v>0.97499999999999998</v>
      </c>
      <c r="Z26" s="787">
        <v>1</v>
      </c>
      <c r="AA26" s="787">
        <v>1.0268551236749117</v>
      </c>
      <c r="AB26" s="787">
        <v>1.0409893992932864</v>
      </c>
      <c r="AC26" s="787">
        <v>1.1226148409893992</v>
      </c>
    </row>
    <row r="27" spans="1:30" x14ac:dyDescent="0.3">
      <c r="A27" s="787">
        <v>2020</v>
      </c>
      <c r="B27" s="787">
        <v>0.50250516173434268</v>
      </c>
      <c r="C27" s="787">
        <v>0.51711286992429462</v>
      </c>
      <c r="D27" s="787">
        <v>0.53074673090158297</v>
      </c>
      <c r="E27" s="787">
        <v>1.52212319339298</v>
      </c>
      <c r="F27" s="787">
        <v>0.56190984170681346</v>
      </c>
      <c r="G27" s="787">
        <v>0.57359600825877488</v>
      </c>
      <c r="H27" s="787">
        <v>0.58820371644872671</v>
      </c>
      <c r="I27" s="787">
        <v>0.59599449415003436</v>
      </c>
      <c r="J27" s="787">
        <v>0.6135237439779766</v>
      </c>
      <c r="K27" s="787">
        <v>0.63007914659325537</v>
      </c>
      <c r="L27" s="787">
        <v>0.64955609084652444</v>
      </c>
      <c r="M27" s="787">
        <v>0.66611149346180321</v>
      </c>
      <c r="N27" s="787">
        <v>0.69337921541637981</v>
      </c>
      <c r="O27" s="787">
        <v>0.72162078458362</v>
      </c>
      <c r="P27" s="787">
        <v>0.72259463179628347</v>
      </c>
      <c r="Q27" s="787">
        <v>0.74888850653819683</v>
      </c>
      <c r="R27" s="787">
        <v>0.78784239504473508</v>
      </c>
      <c r="S27" s="787">
        <v>0.81900550584996556</v>
      </c>
      <c r="T27" s="787">
        <v>0.84627322780454228</v>
      </c>
      <c r="U27" s="787">
        <v>0.86867171369580176</v>
      </c>
      <c r="V27" s="787">
        <v>0.87841018582243635</v>
      </c>
      <c r="W27" s="787">
        <v>0.89107019958706124</v>
      </c>
      <c r="X27" s="787">
        <v>0.91346868547832061</v>
      </c>
      <c r="Y27" s="787">
        <v>0.94950103234686845</v>
      </c>
      <c r="Z27" s="787">
        <v>0.97384721266345486</v>
      </c>
      <c r="AA27" s="787">
        <v>1</v>
      </c>
      <c r="AB27" s="787">
        <v>1.0137646249139711</v>
      </c>
      <c r="AC27" s="787">
        <v>1.093255333792154</v>
      </c>
    </row>
    <row r="28" spans="1:30" x14ac:dyDescent="0.3">
      <c r="A28" s="787">
        <v>2021</v>
      </c>
      <c r="B28" s="787">
        <v>0.49568228105906303</v>
      </c>
      <c r="C28" s="787">
        <v>0.51009164969450105</v>
      </c>
      <c r="D28" s="787">
        <v>0.52354039375424311</v>
      </c>
      <c r="E28" s="787">
        <v>1.5014562118126271</v>
      </c>
      <c r="F28" s="787">
        <v>0.55428038017651049</v>
      </c>
      <c r="G28" s="787">
        <v>0.56580787508486075</v>
      </c>
      <c r="H28" s="787">
        <v>0.58021724372029859</v>
      </c>
      <c r="I28" s="787">
        <v>0.58790224032586547</v>
      </c>
      <c r="J28" s="787">
        <v>0.60519348268839102</v>
      </c>
      <c r="K28" s="787">
        <v>0.62152410047522066</v>
      </c>
      <c r="L28" s="787">
        <v>0.64073659198913779</v>
      </c>
      <c r="M28" s="787">
        <v>0.65706720977596744</v>
      </c>
      <c r="N28" s="787">
        <v>0.68396469789545133</v>
      </c>
      <c r="O28" s="787">
        <v>0.71182281059063124</v>
      </c>
      <c r="P28" s="787">
        <v>0.71278343516632714</v>
      </c>
      <c r="Q28" s="787">
        <v>0.73872029871011535</v>
      </c>
      <c r="R28" s="787">
        <v>0.77714528173794983</v>
      </c>
      <c r="S28" s="787">
        <v>0.80788526816021722</v>
      </c>
      <c r="T28" s="787">
        <v>0.83478275627970122</v>
      </c>
      <c r="U28" s="787">
        <v>0.85687712152070594</v>
      </c>
      <c r="V28" s="787">
        <v>0.86648336727766462</v>
      </c>
      <c r="W28" s="787">
        <v>0.87897148676171077</v>
      </c>
      <c r="X28" s="787">
        <v>0.90106585200271538</v>
      </c>
      <c r="Y28" s="787">
        <v>0.93660896130346216</v>
      </c>
      <c r="Z28" s="787">
        <v>0.96062457569585868</v>
      </c>
      <c r="AA28" s="787">
        <v>0.98642226748133055</v>
      </c>
      <c r="AB28" s="787">
        <v>1</v>
      </c>
      <c r="AC28" s="787">
        <v>1.0784114052953155</v>
      </c>
    </row>
    <row r="29" spans="1:30" x14ac:dyDescent="0.3">
      <c r="A29" s="787">
        <v>2022</v>
      </c>
      <c r="B29" s="787">
        <v>0.45964117091595841</v>
      </c>
      <c r="C29" s="787">
        <v>0.47300283286118988</v>
      </c>
      <c r="D29" s="787">
        <v>0.48547371734340583</v>
      </c>
      <c r="E29" s="787">
        <v>1.3922851746931066</v>
      </c>
      <c r="F29" s="787">
        <v>0.51397859615989927</v>
      </c>
      <c r="G29" s="787">
        <v>0.52466792571608434</v>
      </c>
      <c r="H29" s="787">
        <v>0.5380295876613157</v>
      </c>
      <c r="I29" s="787">
        <v>0.545155807365439</v>
      </c>
      <c r="J29" s="787">
        <v>0.56118980169971677</v>
      </c>
      <c r="K29" s="787">
        <v>0.57633301857097896</v>
      </c>
      <c r="L29" s="787">
        <v>0.59414856783128744</v>
      </c>
      <c r="M29" s="787">
        <v>0.60929178470254963</v>
      </c>
      <c r="N29" s="787">
        <v>0.63423355366698142</v>
      </c>
      <c r="O29" s="787">
        <v>0.66006610009442868</v>
      </c>
      <c r="P29" s="787">
        <v>0.66095687755744414</v>
      </c>
      <c r="Q29" s="787">
        <v>0.68500786905886057</v>
      </c>
      <c r="R29" s="787">
        <v>0.72063896757947765</v>
      </c>
      <c r="S29" s="787">
        <v>0.74914384639597109</v>
      </c>
      <c r="T29" s="787">
        <v>0.77408561536040299</v>
      </c>
      <c r="U29" s="787">
        <v>0.79457349700975766</v>
      </c>
      <c r="V29" s="787">
        <v>0.80348127163991201</v>
      </c>
      <c r="W29" s="787">
        <v>0.81506137865911243</v>
      </c>
      <c r="X29" s="787">
        <v>0.8355492603084671</v>
      </c>
      <c r="Y29" s="787">
        <v>0.86850802644003777</v>
      </c>
      <c r="Z29" s="787">
        <v>0.89077746301542338</v>
      </c>
      <c r="AA29" s="787">
        <v>0.91469940195152666</v>
      </c>
      <c r="AB29" s="787">
        <v>0.92728989612842316</v>
      </c>
      <c r="AC29" s="787">
        <v>1</v>
      </c>
      <c r="AD29">
        <v>1</v>
      </c>
    </row>
  </sheetData>
  <sheetProtection algorithmName="SHA-512" hashValue="05SeIHpQ9JljzyTSSdCNJR0YqIaAfemX25W/pQduPUU1mtsTH/D33unngqXlBZySusoYM4ckez0C/tgH1fM/iQ==" saltValue="1nLPPcAvU9dGQ+JipwtKm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8671875" defaultRowHeight="16.2" customHeight="1" x14ac:dyDescent="0.3"/>
  <cols>
    <col min="1" max="1" width="7"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MONTHLY DISTRIBUTION</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A2" s="618">
        <f>IF(($A$3/1000000)&gt;1,1000000,IF(($A$3/1000)&gt;1,1000,1))</f>
        <v>1000</v>
      </c>
      <c r="B2" s="618">
        <f>IF((B3/1000000)&gt;1,1000000,IF((B3/1000)&gt;1,1000,1))</f>
        <v>1</v>
      </c>
      <c r="C2" s="618">
        <f>IF((C3/1000000)&gt;1,1000000,IF((C3/1000)&gt;1,1000,1))</f>
        <v>1</v>
      </c>
      <c r="D2" s="619"/>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A3" s="620">
        <f>MIN($F44:$Q44)+MIN($F45:$Q45)+MIN($F46:$Q46)+MIN($F47:$Q47)</f>
        <v>18523.74992113906</v>
      </c>
      <c r="B3" s="620">
        <f>MIN($F48:$Q48)+MIN($F49:$Q49)+MIN($F50:$Q50)+MIN($F51:$Q51)</f>
        <v>116.21164530944181</v>
      </c>
      <c r="C3" s="620">
        <f>MIN($F52:$Q52)+MIN($F53:$Q53)+MIN($F54:$Q54)+MIN($F55:$Q55)</f>
        <v>223.16072009859079</v>
      </c>
      <c r="D3" s="619"/>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A4" s="621" t="str">
        <f>IF(A$2=1,"£000s",IF(A$2=1000,"£M","£Bn"))</f>
        <v>£M</v>
      </c>
      <c r="B4" s="621" t="str">
        <f>IF(B$2=1,"000s",IF(B$2=1000,"M","Bn"))</f>
        <v>000s</v>
      </c>
      <c r="C4" s="621" t="str">
        <f>IF(C$2=1,"000s",IF(C$2=1000,"M","Bn"))</f>
        <v>000s</v>
      </c>
      <c r="D4" s="619"/>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A5" s="621"/>
      <c r="B5" s="621"/>
      <c r="C5" s="621"/>
      <c r="D5" s="619"/>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A6" s="617"/>
      <c r="E6" s="407" t="str">
        <f>REP.title1</f>
        <v>STEAM FINAL TREND REPORT FOR 2011-2022</v>
      </c>
      <c r="F6" s="408"/>
      <c r="G6" s="408"/>
      <c r="H6" s="408"/>
      <c r="I6" s="408"/>
      <c r="J6" s="408"/>
      <c r="K6" s="408"/>
      <c r="L6" s="408"/>
      <c r="M6" s="408"/>
      <c r="N6" s="408"/>
      <c r="O6" s="939">
        <f>CHARTYEAR</f>
        <v>2022</v>
      </c>
      <c r="P6" s="940"/>
      <c r="Q6" s="940"/>
      <c r="R6" s="941"/>
      <c r="S6" s="964" t="str">
        <f>UPPER(TOTAL)</f>
        <v>TOTAL</v>
      </c>
      <c r="T6" s="965"/>
      <c r="U6" s="974" t="str">
        <f>IF(REP.indexed="YES","DISTRIBUTION BY MONTH"&amp;CHAR(10)&amp;"Indexed","DISTRIBUTION BY MONTH"&amp;CHAR(10)&amp;"Historic Prices")</f>
        <v>DISTRIBUTION BY MONTH
Indexed</v>
      </c>
      <c r="V6" s="975"/>
      <c r="W6" s="975"/>
      <c r="X6" s="976"/>
    </row>
    <row r="7" spans="1:28" ht="16.2" customHeight="1" thickBot="1" x14ac:dyDescent="0.35">
      <c r="E7" s="409" t="str">
        <f>REP.title2</f>
        <v>CONWY COUNTY BOROUGH COUNCIL</v>
      </c>
      <c r="F7" s="410"/>
      <c r="G7" s="410"/>
      <c r="H7" s="410"/>
      <c r="I7" s="411"/>
      <c r="J7" s="411"/>
      <c r="K7" s="411"/>
      <c r="L7" s="411"/>
      <c r="M7" s="411"/>
      <c r="N7" s="411"/>
      <c r="O7" s="942" t="str">
        <f>IF(REP.indexed="YES",MAX(REP.yearsrange)&amp;" Prices","Historic Prices")</f>
        <v>2022 Prices</v>
      </c>
      <c r="P7" s="943"/>
      <c r="Q7" s="943"/>
      <c r="R7" s="944"/>
      <c r="S7" s="966"/>
      <c r="T7" s="967"/>
      <c r="U7" s="977"/>
      <c r="V7" s="978"/>
      <c r="W7" s="978"/>
      <c r="X7" s="979"/>
    </row>
    <row r="8" spans="1:28" ht="16.2" customHeight="1" thickTop="1" thickBot="1" x14ac:dyDescent="0.35">
      <c r="E8" s="863" t="str">
        <f>IF(REP.indexed="YES","ECONOMIC IMPACT - "&amp;CHARTYEAR&amp;" Indexed - "&amp;$A$4,"Economic Impact - Historic Prices - "&amp;$A$4)&amp;" - Distribution of Impact by Month"</f>
        <v>ECONOMIC IMPACT - 2022 Indexed - £M - Distribution of Impact by Month</v>
      </c>
      <c r="F8" s="864"/>
      <c r="G8" s="864"/>
      <c r="H8" s="864"/>
      <c r="I8" s="864"/>
      <c r="J8" s="864"/>
      <c r="K8" s="864"/>
      <c r="L8" s="864"/>
      <c r="M8" s="864"/>
      <c r="N8" s="864"/>
      <c r="O8" s="926" t="str">
        <f ca="1">PROPER('VISITOR NUMBERS'!$U$6)&amp;" - "&amp;CHARTYEAR&amp;" - "&amp;$B$4&amp;" - Distribution of Impact by Month"</f>
        <v>Visitor Numbers - 2022 - 000s - Distribution of Impact by Month</v>
      </c>
      <c r="P8" s="927"/>
      <c r="Q8" s="927"/>
      <c r="R8" s="927"/>
      <c r="S8" s="927"/>
      <c r="T8" s="927"/>
      <c r="U8" s="927"/>
      <c r="V8" s="927"/>
      <c r="W8" s="927"/>
      <c r="X8" s="928"/>
    </row>
    <row r="9" spans="1:28" s="125" customFormat="1" ht="16.2" customHeight="1" thickTop="1" x14ac:dyDescent="0.3">
      <c r="E9" s="425"/>
      <c r="F9" s="423"/>
      <c r="G9" s="423"/>
      <c r="H9" s="423"/>
      <c r="I9" s="423"/>
      <c r="J9" s="423"/>
      <c r="K9" s="423"/>
      <c r="L9" s="423"/>
      <c r="M9" s="423"/>
      <c r="N9" s="423"/>
      <c r="O9" s="423"/>
      <c r="P9" s="423"/>
      <c r="Q9" s="423"/>
      <c r="R9" s="423"/>
      <c r="S9" s="423"/>
      <c r="T9" s="423"/>
      <c r="U9" s="423"/>
      <c r="V9" s="423"/>
      <c r="W9" s="423"/>
      <c r="X9" s="424"/>
    </row>
    <row r="10" spans="1:28" s="125" customFormat="1" ht="16.2" customHeight="1" x14ac:dyDescent="0.3">
      <c r="E10" s="142"/>
      <c r="F10" s="143"/>
      <c r="G10" s="143"/>
      <c r="H10" s="143"/>
      <c r="I10" s="143"/>
      <c r="J10" s="143"/>
      <c r="K10" s="143"/>
      <c r="L10" s="143"/>
      <c r="M10" s="143"/>
      <c r="N10" s="143"/>
      <c r="O10" s="143"/>
      <c r="P10" s="143"/>
      <c r="Q10" s="143"/>
      <c r="R10" s="143"/>
      <c r="S10" s="143"/>
      <c r="T10" s="143"/>
      <c r="U10" s="143"/>
      <c r="V10" s="143"/>
      <c r="W10" s="143"/>
      <c r="X10" s="426"/>
      <c r="Z10" s="485"/>
      <c r="AA10" s="484"/>
      <c r="AB10" s="483"/>
    </row>
    <row r="11" spans="1:28" s="125" customFormat="1" ht="16.2" customHeight="1" x14ac:dyDescent="0.3">
      <c r="E11" s="142"/>
      <c r="F11" s="143"/>
      <c r="G11" s="143"/>
      <c r="H11" s="143"/>
      <c r="I11" s="143"/>
      <c r="J11" s="143"/>
      <c r="K11" s="143"/>
      <c r="L11" s="143"/>
      <c r="M11" s="143"/>
      <c r="N11" s="143"/>
      <c r="O11" s="143"/>
      <c r="P11" s="143"/>
      <c r="Q11" s="143"/>
      <c r="R11" s="143"/>
      <c r="S11" s="143"/>
      <c r="T11" s="143"/>
      <c r="U11" s="143"/>
      <c r="V11" s="143"/>
      <c r="W11" s="143"/>
      <c r="X11" s="426"/>
      <c r="Z11" s="485"/>
      <c r="AA11" s="484"/>
      <c r="AB11" s="483"/>
    </row>
    <row r="12" spans="1:28" ht="16.2" customHeight="1" x14ac:dyDescent="0.3">
      <c r="E12" s="609"/>
      <c r="F12" s="413"/>
      <c r="G12" s="413"/>
      <c r="H12" s="413"/>
      <c r="I12" s="413"/>
      <c r="J12" s="413"/>
      <c r="K12" s="413"/>
      <c r="L12" s="413"/>
      <c r="M12" s="413"/>
      <c r="N12" s="413"/>
      <c r="O12" s="413"/>
      <c r="P12" s="413"/>
      <c r="Q12" s="413"/>
      <c r="R12" s="413"/>
      <c r="S12" s="413"/>
      <c r="T12" s="413"/>
      <c r="U12" s="413"/>
      <c r="V12" s="413"/>
      <c r="W12" s="413"/>
      <c r="X12" s="414"/>
      <c r="Z12" s="485"/>
      <c r="AA12" s="484"/>
      <c r="AB12" s="483"/>
    </row>
    <row r="13" spans="1:28" ht="16.2" customHeight="1" x14ac:dyDescent="0.3">
      <c r="E13" s="610"/>
      <c r="F13" s="429"/>
      <c r="G13" s="429"/>
      <c r="H13" s="429"/>
      <c r="I13" s="429"/>
      <c r="J13" s="429"/>
      <c r="K13" s="429"/>
      <c r="L13" s="429"/>
      <c r="M13" s="429"/>
      <c r="N13" s="429"/>
      <c r="O13" s="429"/>
      <c r="P13" s="429"/>
      <c r="Q13" s="429"/>
      <c r="R13" s="429"/>
      <c r="S13" s="429"/>
      <c r="T13" s="429"/>
      <c r="U13" s="429"/>
      <c r="V13" s="429"/>
      <c r="W13" s="429"/>
      <c r="X13" s="430"/>
      <c r="Z13" s="485"/>
      <c r="AA13" s="484"/>
      <c r="AB13" s="483"/>
    </row>
    <row r="14" spans="1:28" ht="16.2" customHeight="1" x14ac:dyDescent="0.3">
      <c r="E14" s="610"/>
      <c r="F14" s="429"/>
      <c r="G14" s="429"/>
      <c r="H14" s="429"/>
      <c r="I14" s="429"/>
      <c r="J14" s="429"/>
      <c r="K14" s="429"/>
      <c r="L14" s="429"/>
      <c r="M14" s="429"/>
      <c r="N14" s="429"/>
      <c r="O14" s="429"/>
      <c r="P14" s="429"/>
      <c r="Q14" s="429"/>
      <c r="R14" s="429"/>
      <c r="S14" s="429"/>
      <c r="T14" s="429"/>
      <c r="U14" s="429"/>
      <c r="V14" s="429"/>
      <c r="W14" s="429"/>
      <c r="X14" s="430"/>
      <c r="Z14" s="485"/>
      <c r="AA14" s="484"/>
      <c r="AB14" s="483"/>
    </row>
    <row r="15" spans="1:28" ht="16.2" customHeight="1" x14ac:dyDescent="0.3">
      <c r="E15" s="610"/>
      <c r="F15" s="429"/>
      <c r="G15" s="429"/>
      <c r="H15" s="429"/>
      <c r="I15" s="429"/>
      <c r="J15" s="429"/>
      <c r="K15" s="429"/>
      <c r="L15" s="429"/>
      <c r="M15" s="429"/>
      <c r="N15" s="429"/>
      <c r="O15" s="429"/>
      <c r="P15" s="429"/>
      <c r="Q15" s="429"/>
      <c r="R15" s="429"/>
      <c r="S15" s="429"/>
      <c r="T15" s="429"/>
      <c r="U15" s="429"/>
      <c r="V15" s="429"/>
      <c r="W15" s="429"/>
      <c r="X15" s="430"/>
      <c r="Z15" s="485"/>
      <c r="AA15" s="484"/>
      <c r="AB15" s="483"/>
    </row>
    <row r="16" spans="1:28" ht="16.2" customHeight="1" x14ac:dyDescent="0.3">
      <c r="E16" s="611"/>
      <c r="F16" s="417"/>
      <c r="G16" s="417"/>
      <c r="H16" s="417"/>
      <c r="I16" s="417"/>
      <c r="J16" s="417"/>
      <c r="K16" s="417"/>
      <c r="L16" s="417"/>
      <c r="M16" s="417"/>
      <c r="N16" s="417"/>
      <c r="O16" s="417"/>
      <c r="P16" s="417"/>
      <c r="Q16" s="417"/>
      <c r="R16" s="417"/>
      <c r="S16" s="417"/>
      <c r="T16" s="417"/>
      <c r="U16" s="417"/>
      <c r="V16" s="417"/>
      <c r="W16" s="417"/>
      <c r="X16" s="419"/>
      <c r="Y16" s="270"/>
      <c r="Z16" s="485"/>
      <c r="AA16" s="484"/>
      <c r="AB16" s="483"/>
    </row>
    <row r="17" spans="4:28" ht="16.2" customHeight="1" x14ac:dyDescent="0.3">
      <c r="E17" s="611"/>
      <c r="F17" s="417"/>
      <c r="G17" s="417"/>
      <c r="H17" s="417"/>
      <c r="I17" s="417"/>
      <c r="J17" s="417"/>
      <c r="K17" s="417"/>
      <c r="L17" s="417"/>
      <c r="M17" s="417"/>
      <c r="N17" s="417"/>
      <c r="O17" s="417"/>
      <c r="P17" s="417"/>
      <c r="Q17" s="417"/>
      <c r="R17" s="417"/>
      <c r="S17" s="417"/>
      <c r="T17" s="417"/>
      <c r="U17" s="417"/>
      <c r="V17" s="417"/>
      <c r="W17" s="417"/>
      <c r="X17" s="419"/>
      <c r="Z17" s="485"/>
      <c r="AA17" s="484"/>
      <c r="AB17" s="483"/>
    </row>
    <row r="18" spans="4:28" ht="16.2" customHeight="1" x14ac:dyDescent="0.3">
      <c r="E18" s="611"/>
      <c r="F18" s="417"/>
      <c r="G18" s="417"/>
      <c r="H18" s="417"/>
      <c r="I18" s="417"/>
      <c r="J18" s="417"/>
      <c r="K18" s="417"/>
      <c r="L18" s="417"/>
      <c r="M18" s="417"/>
      <c r="N18" s="417"/>
      <c r="O18" s="417"/>
      <c r="P18" s="417"/>
      <c r="Q18" s="417"/>
      <c r="R18" s="417"/>
      <c r="S18" s="417"/>
      <c r="T18" s="417"/>
      <c r="U18" s="417"/>
      <c r="V18" s="417"/>
      <c r="W18" s="417"/>
      <c r="X18" s="419"/>
      <c r="Z18" s="485"/>
      <c r="AA18" s="484"/>
      <c r="AB18" s="483"/>
    </row>
    <row r="19" spans="4:28" ht="16.2" customHeight="1" x14ac:dyDescent="0.3">
      <c r="E19" s="611"/>
      <c r="F19" s="417"/>
      <c r="G19" s="417"/>
      <c r="H19" s="417"/>
      <c r="I19" s="417"/>
      <c r="J19" s="417"/>
      <c r="K19" s="417"/>
      <c r="L19" s="417"/>
      <c r="M19" s="417"/>
      <c r="N19" s="417"/>
      <c r="O19" s="417"/>
      <c r="P19" s="417"/>
      <c r="Q19" s="417"/>
      <c r="R19" s="417"/>
      <c r="S19" s="417"/>
      <c r="T19" s="417"/>
      <c r="U19" s="417"/>
      <c r="V19" s="417"/>
      <c r="W19" s="417"/>
      <c r="X19" s="419"/>
      <c r="Z19" s="485"/>
      <c r="AA19" s="484"/>
      <c r="AB19" s="483"/>
    </row>
    <row r="20" spans="4:28" ht="16.2" customHeight="1" x14ac:dyDescent="0.3">
      <c r="E20" s="612"/>
      <c r="F20" s="427"/>
      <c r="G20" s="427"/>
      <c r="H20" s="427"/>
      <c r="I20" s="427"/>
      <c r="J20" s="427"/>
      <c r="K20" s="427"/>
      <c r="L20" s="427"/>
      <c r="M20" s="427"/>
      <c r="N20" s="427"/>
      <c r="O20" s="427"/>
      <c r="P20" s="427"/>
      <c r="Q20" s="427"/>
      <c r="R20" s="427"/>
      <c r="S20" s="427"/>
      <c r="T20" s="427"/>
      <c r="U20" s="427"/>
      <c r="V20" s="427"/>
      <c r="W20" s="427"/>
      <c r="X20" s="431"/>
      <c r="Z20" s="485"/>
      <c r="AA20" s="484"/>
      <c r="AB20" s="483"/>
    </row>
    <row r="21" spans="4:28" ht="16.2" customHeight="1" thickBot="1" x14ac:dyDescent="0.35">
      <c r="E21" s="613"/>
      <c r="F21" s="432"/>
      <c r="G21" s="432"/>
      <c r="H21" s="432"/>
      <c r="I21" s="432"/>
      <c r="J21" s="432"/>
      <c r="K21" s="432"/>
      <c r="L21" s="432"/>
      <c r="M21" s="432"/>
      <c r="N21" s="432"/>
      <c r="O21" s="432"/>
      <c r="P21" s="432"/>
      <c r="Q21" s="432"/>
      <c r="R21" s="432"/>
      <c r="S21" s="432"/>
      <c r="T21" s="432"/>
      <c r="U21" s="432"/>
      <c r="V21" s="432"/>
      <c r="W21" s="432"/>
      <c r="X21" s="169"/>
      <c r="Z21" s="485"/>
      <c r="AA21" s="484"/>
      <c r="AB21" s="483"/>
    </row>
    <row r="22" spans="4:28" ht="16.2" customHeight="1" thickTop="1" thickBot="1" x14ac:dyDescent="0.35">
      <c r="E22" s="613"/>
      <c r="F22" s="432"/>
      <c r="G22" s="432"/>
      <c r="H22" s="432"/>
      <c r="I22" s="432"/>
      <c r="J22" s="432"/>
      <c r="K22" s="432"/>
      <c r="L22" s="432"/>
      <c r="M22" s="432"/>
      <c r="N22" s="432"/>
      <c r="O22" s="432"/>
      <c r="P22" s="432"/>
      <c r="Q22" s="432"/>
      <c r="R22" s="432"/>
      <c r="S22" s="432"/>
      <c r="T22" s="432"/>
      <c r="U22" s="432"/>
      <c r="V22" s="432"/>
      <c r="W22" s="432"/>
      <c r="X22" s="169"/>
      <c r="Z22" s="485"/>
      <c r="AA22" s="484"/>
      <c r="AB22" s="483"/>
    </row>
    <row r="23" spans="4:28" ht="16.2" customHeight="1" thickTop="1" thickBot="1" x14ac:dyDescent="0.35">
      <c r="E23" s="947" t="str">
        <f ca="1">PROPER('VISITOR DAYS'!$U$6)&amp;" - "&amp;CHARTYEAR&amp;" - "&amp;$C$4&amp;" - Distribution of Impact by Month"</f>
        <v>Visitor Days - 2022 - 000s - Distribution of Impact by Month</v>
      </c>
      <c r="F23" s="948"/>
      <c r="G23" s="948"/>
      <c r="H23" s="948"/>
      <c r="I23" s="948"/>
      <c r="J23" s="948"/>
      <c r="K23" s="948"/>
      <c r="L23" s="948"/>
      <c r="M23" s="948"/>
      <c r="N23" s="948"/>
      <c r="O23" s="949" t="str">
        <f>"Direct Employment Supported - "&amp;CHARTYEAR&amp;" - FTEs - Distribution of Impact by Month"</f>
        <v>Direct Employment Supported - 2022 - FTEs - Distribution of Impact by Month</v>
      </c>
      <c r="P23" s="950"/>
      <c r="Q23" s="950"/>
      <c r="R23" s="950"/>
      <c r="S23" s="950"/>
      <c r="T23" s="950"/>
      <c r="U23" s="950"/>
      <c r="V23" s="950"/>
      <c r="W23" s="950"/>
      <c r="X23" s="951"/>
      <c r="Z23" s="485"/>
      <c r="AA23" s="484"/>
      <c r="AB23" s="483"/>
    </row>
    <row r="24" spans="4:28" ht="16.2" customHeight="1" thickTop="1" x14ac:dyDescent="0.3">
      <c r="E24" s="614"/>
      <c r="F24" s="603"/>
      <c r="G24" s="603"/>
      <c r="H24" s="603"/>
      <c r="I24" s="603"/>
      <c r="J24" s="603"/>
      <c r="K24" s="603"/>
      <c r="L24" s="603"/>
      <c r="M24" s="603"/>
      <c r="N24" s="603"/>
      <c r="O24" s="603"/>
      <c r="P24" s="603"/>
      <c r="Q24" s="603"/>
      <c r="R24" s="603"/>
      <c r="S24" s="603"/>
      <c r="T24" s="603"/>
      <c r="U24" s="603"/>
      <c r="V24" s="603"/>
      <c r="W24" s="604"/>
      <c r="X24" s="424"/>
      <c r="AA24" s="485"/>
      <c r="AB24" s="483"/>
    </row>
    <row r="25" spans="4:28" ht="16.2" customHeight="1" x14ac:dyDescent="0.3">
      <c r="E25" s="615"/>
      <c r="F25" s="605"/>
      <c r="G25" s="605"/>
      <c r="H25" s="605"/>
      <c r="I25" s="605"/>
      <c r="J25" s="605"/>
      <c r="K25" s="605"/>
      <c r="L25" s="605"/>
      <c r="M25" s="605"/>
      <c r="N25" s="605"/>
      <c r="O25" s="605"/>
      <c r="P25" s="605"/>
      <c r="Q25" s="605"/>
      <c r="R25" s="605"/>
      <c r="S25" s="605"/>
      <c r="T25" s="605"/>
      <c r="U25" s="605"/>
      <c r="V25" s="605"/>
      <c r="W25" s="605"/>
      <c r="X25" s="428"/>
      <c r="AA25" s="485"/>
      <c r="AB25" s="483"/>
    </row>
    <row r="26" spans="4:28" ht="16.2" customHeight="1" x14ac:dyDescent="0.3">
      <c r="E26" s="420"/>
      <c r="F26" s="159"/>
      <c r="G26" s="159"/>
      <c r="H26" s="159"/>
      <c r="I26" s="159"/>
      <c r="J26" s="159"/>
      <c r="K26" s="159"/>
      <c r="L26" s="159"/>
      <c r="M26" s="159"/>
      <c r="N26" s="159"/>
      <c r="O26" s="159"/>
      <c r="P26" s="159"/>
      <c r="Q26" s="159"/>
      <c r="R26" s="159"/>
      <c r="S26" s="159"/>
      <c r="T26" s="159"/>
      <c r="U26" s="159"/>
      <c r="V26" s="159"/>
      <c r="W26" s="159"/>
      <c r="X26" s="430"/>
      <c r="AA26" s="485"/>
      <c r="AB26" s="483"/>
    </row>
    <row r="27" spans="4:28" ht="16.2" customHeight="1" x14ac:dyDescent="0.3">
      <c r="E27" s="420"/>
      <c r="F27" s="159"/>
      <c r="G27" s="159"/>
      <c r="H27" s="159"/>
      <c r="I27" s="159"/>
      <c r="J27" s="159"/>
      <c r="K27" s="159"/>
      <c r="L27" s="159"/>
      <c r="M27" s="159"/>
      <c r="N27" s="159"/>
      <c r="O27" s="159"/>
      <c r="P27" s="159"/>
      <c r="Q27" s="159"/>
      <c r="R27" s="159"/>
      <c r="S27" s="159"/>
      <c r="T27" s="159"/>
      <c r="U27" s="159"/>
      <c r="V27" s="159"/>
      <c r="W27" s="159"/>
      <c r="X27" s="430"/>
      <c r="Z27" s="485">
        <f>R64</f>
        <v>0</v>
      </c>
      <c r="AA27" s="484"/>
      <c r="AB27" s="483"/>
    </row>
    <row r="28" spans="4:28" ht="16.2" customHeight="1" x14ac:dyDescent="0.3">
      <c r="D28" s="196"/>
      <c r="E28" s="420"/>
      <c r="F28" s="159"/>
      <c r="G28" s="159"/>
      <c r="H28" s="159"/>
      <c r="I28" s="159"/>
      <c r="J28" s="159"/>
      <c r="K28" s="159"/>
      <c r="L28" s="159"/>
      <c r="M28" s="159"/>
      <c r="N28" s="159"/>
      <c r="O28" s="159"/>
      <c r="P28" s="159"/>
      <c r="Q28" s="159"/>
      <c r="R28" s="159"/>
      <c r="S28" s="159"/>
      <c r="T28" s="159"/>
      <c r="U28" s="159"/>
      <c r="V28" s="159"/>
      <c r="W28" s="159"/>
      <c r="X28" s="430"/>
      <c r="Z28" s="485"/>
      <c r="AA28" s="484"/>
      <c r="AB28" s="483"/>
    </row>
    <row r="29" spans="4:28" ht="16.2" customHeight="1" x14ac:dyDescent="0.3">
      <c r="D29" s="196"/>
      <c r="E29" s="616"/>
      <c r="F29" s="418"/>
      <c r="G29" s="418"/>
      <c r="H29" s="418"/>
      <c r="I29" s="418"/>
      <c r="J29" s="418"/>
      <c r="K29" s="418"/>
      <c r="L29" s="418"/>
      <c r="M29" s="418"/>
      <c r="N29" s="418"/>
      <c r="O29" s="418"/>
      <c r="P29" s="418"/>
      <c r="Q29" s="418"/>
      <c r="R29" s="418"/>
      <c r="S29" s="418"/>
      <c r="T29" s="418"/>
      <c r="U29" s="418"/>
      <c r="V29" s="418"/>
      <c r="W29" s="418"/>
      <c r="X29" s="419"/>
      <c r="Z29" s="485"/>
      <c r="AA29" s="484"/>
      <c r="AB29" s="484"/>
    </row>
    <row r="30" spans="4:28" ht="16.2" customHeight="1" x14ac:dyDescent="0.3">
      <c r="D30" s="196"/>
      <c r="E30" s="616"/>
      <c r="F30" s="418"/>
      <c r="G30" s="418"/>
      <c r="H30" s="418"/>
      <c r="I30" s="418"/>
      <c r="J30" s="418"/>
      <c r="K30" s="418"/>
      <c r="L30" s="418"/>
      <c r="M30" s="418"/>
      <c r="N30" s="418"/>
      <c r="O30" s="418"/>
      <c r="P30" s="418"/>
      <c r="Q30" s="418"/>
      <c r="R30" s="418"/>
      <c r="S30" s="418"/>
      <c r="T30" s="418"/>
      <c r="U30" s="418"/>
      <c r="V30" s="418"/>
      <c r="W30" s="418"/>
      <c r="X30" s="419"/>
      <c r="Z30" s="485"/>
      <c r="AA30" s="484"/>
      <c r="AB30" s="484"/>
    </row>
    <row r="31" spans="4:28" ht="16.2" customHeight="1" x14ac:dyDescent="0.3">
      <c r="D31" s="196"/>
      <c r="E31" s="616"/>
      <c r="F31" s="418"/>
      <c r="G31" s="418"/>
      <c r="H31" s="418"/>
      <c r="I31" s="418"/>
      <c r="J31" s="418"/>
      <c r="K31" s="418"/>
      <c r="L31" s="418"/>
      <c r="M31" s="418"/>
      <c r="N31" s="418"/>
      <c r="O31" s="418"/>
      <c r="P31" s="418"/>
      <c r="Q31" s="418"/>
      <c r="R31" s="418"/>
      <c r="S31" s="418"/>
      <c r="T31" s="418"/>
      <c r="U31" s="418"/>
      <c r="V31" s="418"/>
      <c r="W31" s="418"/>
      <c r="X31" s="419"/>
      <c r="Z31" s="485"/>
      <c r="AA31" s="484"/>
      <c r="AB31" s="484"/>
    </row>
    <row r="32" spans="4:28" ht="16.2" customHeight="1" x14ac:dyDescent="0.3">
      <c r="D32" s="196"/>
      <c r="E32" s="616"/>
      <c r="F32" s="418"/>
      <c r="G32" s="418"/>
      <c r="H32" s="418"/>
      <c r="I32" s="418"/>
      <c r="J32" s="418"/>
      <c r="K32" s="418"/>
      <c r="L32" s="418"/>
      <c r="M32" s="418"/>
      <c r="N32" s="418"/>
      <c r="O32" s="418"/>
      <c r="P32" s="418"/>
      <c r="Q32" s="418"/>
      <c r="R32" s="418"/>
      <c r="S32" s="418"/>
      <c r="T32" s="418"/>
      <c r="U32" s="418"/>
      <c r="V32" s="418"/>
      <c r="W32" s="418"/>
      <c r="X32" s="419"/>
      <c r="Z32" s="485"/>
      <c r="AA32" s="484"/>
      <c r="AB32" s="483"/>
    </row>
    <row r="33" spans="3:28" ht="16.2" customHeight="1" x14ac:dyDescent="0.3">
      <c r="D33" s="196"/>
      <c r="E33" s="247"/>
      <c r="F33" s="486"/>
      <c r="G33" s="487"/>
      <c r="H33" s="487"/>
      <c r="I33" s="488"/>
      <c r="J33" s="488"/>
      <c r="K33" s="488"/>
      <c r="L33" s="488"/>
      <c r="M33" s="488"/>
      <c r="N33" s="489"/>
      <c r="O33" s="606"/>
      <c r="P33" s="488"/>
      <c r="Q33" s="488"/>
      <c r="R33" s="607"/>
      <c r="S33" s="418"/>
      <c r="T33" s="440"/>
      <c r="U33" s="440"/>
      <c r="V33" s="440"/>
      <c r="W33" s="440"/>
      <c r="X33" s="454"/>
      <c r="Z33" s="485"/>
      <c r="AA33" s="484"/>
      <c r="AB33" s="483"/>
    </row>
    <row r="34" spans="3:28" ht="16.2" customHeight="1" x14ac:dyDescent="0.3">
      <c r="D34" s="196"/>
      <c r="E34" s="490"/>
      <c r="F34" s="491"/>
      <c r="G34" s="492"/>
      <c r="H34" s="492"/>
      <c r="I34" s="492"/>
      <c r="J34" s="492"/>
      <c r="K34" s="492"/>
      <c r="L34" s="492"/>
      <c r="M34" s="492"/>
      <c r="N34" s="493"/>
      <c r="O34" s="608"/>
      <c r="P34" s="492"/>
      <c r="Q34" s="492"/>
      <c r="R34" s="159"/>
      <c r="S34" s="418"/>
      <c r="T34" s="440"/>
      <c r="U34" s="440"/>
      <c r="V34" s="440"/>
      <c r="W34" s="440"/>
      <c r="X34" s="454"/>
      <c r="Z34" s="240"/>
    </row>
    <row r="35" spans="3:28" ht="16.2" customHeight="1" x14ac:dyDescent="0.3">
      <c r="D35" s="196"/>
      <c r="E35" s="490"/>
      <c r="F35" s="491"/>
      <c r="G35" s="492"/>
      <c r="H35" s="492"/>
      <c r="I35" s="492"/>
      <c r="J35" s="492"/>
      <c r="K35" s="492"/>
      <c r="L35" s="492"/>
      <c r="M35" s="492"/>
      <c r="N35" s="493"/>
      <c r="O35" s="608"/>
      <c r="P35" s="492"/>
      <c r="Q35" s="492"/>
      <c r="R35" s="159"/>
      <c r="S35" s="418"/>
      <c r="T35" s="418"/>
      <c r="U35" s="418"/>
      <c r="V35" s="418"/>
      <c r="W35" s="418"/>
      <c r="X35" s="419"/>
      <c r="Z35" s="240"/>
    </row>
    <row r="36" spans="3:28" ht="16.2" customHeight="1" x14ac:dyDescent="0.3">
      <c r="D36" s="196"/>
      <c r="E36" s="490"/>
      <c r="F36" s="491"/>
      <c r="G36" s="492"/>
      <c r="H36" s="492"/>
      <c r="I36" s="492"/>
      <c r="J36" s="492"/>
      <c r="K36" s="492"/>
      <c r="L36" s="492"/>
      <c r="M36" s="492"/>
      <c r="N36" s="493"/>
      <c r="O36" s="608"/>
      <c r="P36" s="492"/>
      <c r="Q36" s="492"/>
      <c r="R36" s="159"/>
      <c r="S36" s="418"/>
      <c r="T36" s="418"/>
      <c r="U36" s="418"/>
      <c r="V36" s="418"/>
      <c r="W36" s="418"/>
      <c r="X36" s="419"/>
      <c r="Z36" s="240"/>
    </row>
    <row r="37" spans="3:28" ht="16.2" customHeight="1" thickBot="1" x14ac:dyDescent="0.35">
      <c r="D37" s="196"/>
      <c r="E37" s="455"/>
      <c r="F37" s="456"/>
      <c r="G37" s="457"/>
      <c r="H37" s="457"/>
      <c r="I37" s="457"/>
      <c r="J37" s="457"/>
      <c r="K37" s="457"/>
      <c r="L37" s="457"/>
      <c r="M37" s="457"/>
      <c r="N37" s="458"/>
      <c r="O37" s="459"/>
      <c r="P37" s="457"/>
      <c r="Q37" s="457"/>
      <c r="R37" s="457"/>
      <c r="S37" s="277"/>
      <c r="T37" s="277"/>
      <c r="U37" s="277"/>
      <c r="V37" s="277"/>
      <c r="W37" s="277"/>
      <c r="X37" s="278"/>
      <c r="Z37" s="240"/>
    </row>
    <row r="38" spans="3:28"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3:28" ht="16.2" customHeight="1" thickTop="1" x14ac:dyDescent="0.3"/>
    <row r="40" spans="3:28" ht="16.2" customHeight="1" x14ac:dyDescent="0.3">
      <c r="G40" s="240"/>
      <c r="H40" s="240"/>
      <c r="I40" s="240"/>
      <c r="J40" s="240"/>
      <c r="K40" s="240"/>
      <c r="L40" s="240"/>
      <c r="M40" s="240"/>
      <c r="N40" s="240"/>
      <c r="O40" s="240"/>
      <c r="P40" s="240"/>
      <c r="Q40" s="240"/>
      <c r="R40" s="240"/>
      <c r="S40" s="240"/>
      <c r="T40" s="240"/>
      <c r="U40" s="240"/>
      <c r="V40" s="240"/>
    </row>
    <row r="41" spans="3:28" ht="16.2" customHeight="1" x14ac:dyDescent="0.3">
      <c r="G41" s="240"/>
      <c r="H41" s="240"/>
      <c r="I41" s="240"/>
      <c r="J41" s="240"/>
      <c r="K41" s="240"/>
      <c r="L41" s="240"/>
      <c r="M41" s="240"/>
      <c r="N41" s="240"/>
      <c r="O41" s="240"/>
      <c r="P41" s="240"/>
      <c r="Q41" s="240"/>
      <c r="R41" s="240"/>
      <c r="S41" s="240"/>
      <c r="T41" s="240"/>
      <c r="U41" s="240"/>
      <c r="V41" s="240"/>
    </row>
    <row r="43" spans="3:28" ht="16.2" customHeight="1" x14ac:dyDescent="0.3">
      <c r="C43" s="621"/>
      <c r="D43" s="619"/>
      <c r="E43" s="635">
        <f>CHARTYEAR</f>
        <v>2022</v>
      </c>
      <c r="F43" s="624" t="str">
        <f t="array" ref="F43:Q43">{"Jan","Feb","Mar","Apr","May","Jun","Jul","Aug","Sep","Oct","Nov","Dec"}</f>
        <v>Jan</v>
      </c>
      <c r="G43" s="636" t="str">
        <v>Feb</v>
      </c>
      <c r="H43" s="624" t="str">
        <v>Mar</v>
      </c>
      <c r="I43" s="624" t="str">
        <v>Apr</v>
      </c>
      <c r="J43" s="624" t="str">
        <v>May</v>
      </c>
      <c r="K43" s="624" t="str">
        <v>Jun</v>
      </c>
      <c r="L43" s="624" t="str">
        <v>Jul</v>
      </c>
      <c r="M43" s="624" t="str">
        <v>Aug</v>
      </c>
      <c r="N43" s="624" t="str">
        <v>Sep</v>
      </c>
      <c r="O43" s="624" t="str">
        <v>Oct</v>
      </c>
      <c r="P43" s="624" t="str">
        <v>Nov</v>
      </c>
      <c r="Q43" s="624" t="str">
        <v>Dec</v>
      </c>
      <c r="R43" s="624"/>
      <c r="S43" s="624"/>
      <c r="T43" s="624"/>
      <c r="U43" s="624"/>
      <c r="V43" s="624"/>
      <c r="W43" s="621"/>
    </row>
    <row r="44" spans="3:28" ht="16.2" customHeight="1" x14ac:dyDescent="0.3">
      <c r="C44" s="621"/>
      <c r="D44" s="619"/>
      <c r="E44" s="637" t="str">
        <f t="array" ref="E44:E47">INDEX(TYPE.choices,{2;3;4;6})</f>
        <v>Serviced Accommodation</v>
      </c>
      <c r="F44" s="623">
        <f>INDEX(DATA!H:H,MATCH(CHARTYEAR&amp;"."&amp;"ECONOMIC IMPACT"&amp;"."&amp;$E44,DATA!$C:$C,0))*INDEX(REP.indexationfactors,(MATCH(CHARTYEAR,REP.yearsrange,0)))</f>
        <v>8726.5353086108134</v>
      </c>
      <c r="G44" s="623">
        <f>INDEX(DATA!I:I,MATCH(CHARTYEAR&amp;"."&amp;"ECONOMIC IMPACT"&amp;"."&amp;$E44,DATA!$C:$C,0))*INDEX(REP.indexationfactors,(MATCH(CHARTYEAR,REP.yearsrange,0)))</f>
        <v>11387.638305578246</v>
      </c>
      <c r="H44" s="623">
        <f>INDEX(DATA!J:J,MATCH(CHARTYEAR&amp;"."&amp;"ECONOMIC IMPACT"&amp;"."&amp;$E44,DATA!$C:$C,0))*INDEX(REP.indexationfactors,(MATCH(CHARTYEAR,REP.yearsrange,0)))</f>
        <v>13084.401021917214</v>
      </c>
      <c r="I44" s="623">
        <f>INDEX(DATA!K:K,MATCH(CHARTYEAR&amp;"."&amp;"ECONOMIC IMPACT"&amp;"."&amp;$E44,DATA!$C:$C,0))*INDEX(REP.indexationfactors,(MATCH(CHARTYEAR,REP.yearsrange,0)))</f>
        <v>15630.478592731588</v>
      </c>
      <c r="J44" s="623">
        <f>INDEX(DATA!L:L,MATCH(CHARTYEAR&amp;"."&amp;"ECONOMIC IMPACT"&amp;"."&amp;$E44,DATA!$C:$C,0))*INDEX(REP.indexationfactors,(MATCH(CHARTYEAR,REP.yearsrange,0)))</f>
        <v>26929.487224554596</v>
      </c>
      <c r="K44" s="623">
        <f>INDEX(DATA!M:M,MATCH(CHARTYEAR&amp;"."&amp;"ECONOMIC IMPACT"&amp;"."&amp;$E44,DATA!$C:$C,0))*INDEX(REP.indexationfactors,(MATCH(CHARTYEAR,REP.yearsrange,0)))</f>
        <v>21313.955310836369</v>
      </c>
      <c r="L44" s="623">
        <f>INDEX(DATA!N:N,MATCH(CHARTYEAR&amp;"."&amp;"ECONOMIC IMPACT"&amp;"."&amp;$E44,DATA!$C:$C,0))*INDEX(REP.indexationfactors,(MATCH(CHARTYEAR,REP.yearsrange,0)))</f>
        <v>28217.009027605251</v>
      </c>
      <c r="M44" s="623">
        <f>INDEX(DATA!O:O,MATCH(CHARTYEAR&amp;"."&amp;"ECONOMIC IMPACT"&amp;"."&amp;$E44,DATA!$C:$C,0))*INDEX(REP.indexationfactors,(MATCH(CHARTYEAR,REP.yearsrange,0)))</f>
        <v>28609.50027024766</v>
      </c>
      <c r="N44" s="623">
        <f>INDEX(DATA!P:P,MATCH(CHARTYEAR&amp;"."&amp;"ECONOMIC IMPACT"&amp;"."&amp;$E44,DATA!$C:$C,0))*INDEX(REP.indexationfactors,(MATCH(CHARTYEAR,REP.yearsrange,0)))</f>
        <v>23343.047357497155</v>
      </c>
      <c r="O44" s="623">
        <f>INDEX(DATA!Q:Q,MATCH(CHARTYEAR&amp;"."&amp;"ECONOMIC IMPACT"&amp;"."&amp;$E44,DATA!$C:$C,0))*INDEX(REP.indexationfactors,(MATCH(CHARTYEAR,REP.yearsrange,0)))</f>
        <v>13767.001867473706</v>
      </c>
      <c r="P44" s="623">
        <f>INDEX(DATA!R:R,MATCH(CHARTYEAR&amp;"."&amp;"ECONOMIC IMPACT"&amp;"."&amp;$E44,DATA!$C:$C,0))*INDEX(REP.indexationfactors,(MATCH(CHARTYEAR,REP.yearsrange,0)))</f>
        <v>17659.852449325546</v>
      </c>
      <c r="Q44" s="623">
        <f>INDEX(DATA!S:S,MATCH(CHARTYEAR&amp;"."&amp;"ECONOMIC IMPACT"&amp;"."&amp;$E44,DATA!$C:$C,0))*INDEX(REP.indexationfactors,(MATCH(CHARTYEAR,REP.yearsrange,0)))</f>
        <v>12577.28689557721</v>
      </c>
      <c r="R44" s="623"/>
      <c r="S44" s="624"/>
      <c r="T44" s="624"/>
      <c r="U44" s="625"/>
      <c r="V44" s="625"/>
      <c r="W44" s="621"/>
    </row>
    <row r="45" spans="3:28" ht="16.2" customHeight="1" x14ac:dyDescent="0.3">
      <c r="C45" s="621"/>
      <c r="D45" s="619"/>
      <c r="E45" s="637" t="str">
        <v>Non-Serviced Accommodation</v>
      </c>
      <c r="F45" s="623">
        <f>INDEX(DATA!H:H,MATCH(CHARTYEAR&amp;"."&amp;"ECONOMIC IMPACT"&amp;"."&amp;$E45,DATA!$C:$C,0))*INDEX(REP.indexationfactors,(MATCH(CHARTYEAR,REP.yearsrange,0)))</f>
        <v>7050.9952067457089</v>
      </c>
      <c r="G45" s="623">
        <f>INDEX(DATA!I:I,MATCH(CHARTYEAR&amp;"."&amp;"ECONOMIC IMPACT"&amp;"."&amp;$E45,DATA!$C:$C,0))*INDEX(REP.indexationfactors,(MATCH(CHARTYEAR,REP.yearsrange,0)))</f>
        <v>8912.4663916397476</v>
      </c>
      <c r="H45" s="623">
        <f>INDEX(DATA!J:J,MATCH(CHARTYEAR&amp;"."&amp;"ECONOMIC IMPACT"&amp;"."&amp;$E45,DATA!$C:$C,0))*INDEX(REP.indexationfactors,(MATCH(CHARTYEAR,REP.yearsrange,0)))</f>
        <v>37524.413398215504</v>
      </c>
      <c r="I45" s="623">
        <f>INDEX(DATA!K:K,MATCH(CHARTYEAR&amp;"."&amp;"ECONOMIC IMPACT"&amp;"."&amp;$E45,DATA!$C:$C,0))*INDEX(REP.indexationfactors,(MATCH(CHARTYEAR,REP.yearsrange,0)))</f>
        <v>51453.758257636822</v>
      </c>
      <c r="J45" s="623">
        <f>INDEX(DATA!L:L,MATCH(CHARTYEAR&amp;"."&amp;"ECONOMIC IMPACT"&amp;"."&amp;$E45,DATA!$C:$C,0))*INDEX(REP.indexationfactors,(MATCH(CHARTYEAR,REP.yearsrange,0)))</f>
        <v>51707.231156702197</v>
      </c>
      <c r="K45" s="623">
        <f>INDEX(DATA!M:M,MATCH(CHARTYEAR&amp;"."&amp;"ECONOMIC IMPACT"&amp;"."&amp;$E45,DATA!$C:$C,0))*INDEX(REP.indexationfactors,(MATCH(CHARTYEAR,REP.yearsrange,0)))</f>
        <v>56575.984278693781</v>
      </c>
      <c r="L45" s="623">
        <f>INDEX(DATA!N:N,MATCH(CHARTYEAR&amp;"."&amp;"ECONOMIC IMPACT"&amp;"."&amp;$E45,DATA!$C:$C,0))*INDEX(REP.indexationfactors,(MATCH(CHARTYEAR,REP.yearsrange,0)))</f>
        <v>72719.512809342748</v>
      </c>
      <c r="M45" s="623">
        <f>INDEX(DATA!O:O,MATCH(CHARTYEAR&amp;"."&amp;"ECONOMIC IMPACT"&amp;"."&amp;$E45,DATA!$C:$C,0))*INDEX(REP.indexationfactors,(MATCH(CHARTYEAR,REP.yearsrange,0)))</f>
        <v>68636.910390776524</v>
      </c>
      <c r="N45" s="623">
        <f>INDEX(DATA!P:P,MATCH(CHARTYEAR&amp;"."&amp;"ECONOMIC IMPACT"&amp;"."&amp;$E45,DATA!$C:$C,0))*INDEX(REP.indexationfactors,(MATCH(CHARTYEAR,REP.yearsrange,0)))</f>
        <v>53449.093523132367</v>
      </c>
      <c r="O45" s="623">
        <f>INDEX(DATA!Q:Q,MATCH(CHARTYEAR&amp;"."&amp;"ECONOMIC IMPACT"&amp;"."&amp;$E45,DATA!$C:$C,0))*INDEX(REP.indexationfactors,(MATCH(CHARTYEAR,REP.yearsrange,0)))</f>
        <v>46764.990893679918</v>
      </c>
      <c r="P45" s="623">
        <f>INDEX(DATA!R:R,MATCH(CHARTYEAR&amp;"."&amp;"ECONOMIC IMPACT"&amp;"."&amp;$E45,DATA!$C:$C,0))*INDEX(REP.indexationfactors,(MATCH(CHARTYEAR,REP.yearsrange,0)))</f>
        <v>18421.603635388681</v>
      </c>
      <c r="Q45" s="623">
        <f>INDEX(DATA!S:S,MATCH(CHARTYEAR&amp;"."&amp;"ECONOMIC IMPACT"&amp;"."&amp;$E45,DATA!$C:$C,0))*INDEX(REP.indexationfactors,(MATCH(CHARTYEAR,REP.yearsrange,0)))</f>
        <v>9063.9489310736935</v>
      </c>
      <c r="R45" s="623"/>
      <c r="S45" s="624"/>
      <c r="T45" s="624"/>
      <c r="U45" s="625"/>
      <c r="V45" s="625"/>
      <c r="W45" s="621"/>
    </row>
    <row r="46" spans="3:28" ht="16.2" customHeight="1" x14ac:dyDescent="0.3">
      <c r="C46" s="621"/>
      <c r="D46" s="619"/>
      <c r="E46" s="638" t="str">
        <v>SFR</v>
      </c>
      <c r="F46" s="623">
        <f>INDEX(DATA!H:H,MATCH(CHARTYEAR&amp;"."&amp;"ECONOMIC IMPACT"&amp;"."&amp;$E46,DATA!$C:$C,0))*INDEX(REP.indexationfactors,(MATCH(CHARTYEAR,REP.yearsrange,0)))</f>
        <v>2310.0564997673737</v>
      </c>
      <c r="G46" s="623">
        <f>INDEX(DATA!I:I,MATCH(CHARTYEAR&amp;"."&amp;"ECONOMIC IMPACT"&amp;"."&amp;$E46,DATA!$C:$C,0))*INDEX(REP.indexationfactors,(MATCH(CHARTYEAR,REP.yearsrange,0)))</f>
        <v>776.1789839218377</v>
      </c>
      <c r="H46" s="623">
        <f>INDEX(DATA!J:J,MATCH(CHARTYEAR&amp;"."&amp;"ECONOMIC IMPACT"&amp;"."&amp;$E46,DATA!$C:$C,0))*INDEX(REP.indexationfactors,(MATCH(CHARTYEAR,REP.yearsrange,0)))</f>
        <v>882.95492879997403</v>
      </c>
      <c r="I46" s="623">
        <f>INDEX(DATA!K:K,MATCH(CHARTYEAR&amp;"."&amp;"ECONOMIC IMPACT"&amp;"."&amp;$E46,DATA!$C:$C,0))*INDEX(REP.indexationfactors,(MATCH(CHARTYEAR,REP.yearsrange,0)))</f>
        <v>2106.7715277878451</v>
      </c>
      <c r="J46" s="623">
        <f>INDEX(DATA!L:L,MATCH(CHARTYEAR&amp;"."&amp;"ECONOMIC IMPACT"&amp;"."&amp;$E46,DATA!$C:$C,0))*INDEX(REP.indexationfactors,(MATCH(CHARTYEAR,REP.yearsrange,0)))</f>
        <v>1355.2331465301932</v>
      </c>
      <c r="K46" s="623">
        <f>INDEX(DATA!M:M,MATCH(CHARTYEAR&amp;"."&amp;"ECONOMIC IMPACT"&amp;"."&amp;$E46,DATA!$C:$C,0))*INDEX(REP.indexationfactors,(MATCH(CHARTYEAR,REP.yearsrange,0)))</f>
        <v>1043.960733374872</v>
      </c>
      <c r="L46" s="623">
        <f>INDEX(DATA!N:N,MATCH(CHARTYEAR&amp;"."&amp;"ECONOMIC IMPACT"&amp;"."&amp;$E46,DATA!$C:$C,0))*INDEX(REP.indexationfactors,(MATCH(CHARTYEAR,REP.yearsrange,0)))</f>
        <v>1694.0414331627408</v>
      </c>
      <c r="M46" s="623">
        <f>INDEX(DATA!O:O,MATCH(CHARTYEAR&amp;"."&amp;"ECONOMIC IMPACT"&amp;"."&amp;$E46,DATA!$C:$C,0))*INDEX(REP.indexationfactors,(MATCH(CHARTYEAR,REP.yearsrange,0)))</f>
        <v>1793.3019942283008</v>
      </c>
      <c r="N46" s="623">
        <f>INDEX(DATA!P:P,MATCH(CHARTYEAR&amp;"."&amp;"ECONOMIC IMPACT"&amp;"."&amp;$E46,DATA!$C:$C,0))*INDEX(REP.indexationfactors,(MATCH(CHARTYEAR,REP.yearsrange,0)))</f>
        <v>923.69611192164916</v>
      </c>
      <c r="O46" s="623">
        <f>INDEX(DATA!Q:Q,MATCH(CHARTYEAR&amp;"."&amp;"ECONOMIC IMPACT"&amp;"."&amp;$E46,DATA!$C:$C,0))*INDEX(REP.indexationfactors,(MATCH(CHARTYEAR,REP.yearsrange,0)))</f>
        <v>922.79056977374046</v>
      </c>
      <c r="P46" s="623">
        <f>INDEX(DATA!R:R,MATCH(CHARTYEAR&amp;"."&amp;"ECONOMIC IMPACT"&amp;"."&amp;$E46,DATA!$C:$C,0))*INDEX(REP.indexationfactors,(MATCH(CHARTYEAR,REP.yearsrange,0)))</f>
        <v>719.04358649425785</v>
      </c>
      <c r="Q46" s="623">
        <f>INDEX(DATA!S:S,MATCH(CHARTYEAR&amp;"."&amp;"ECONOMIC IMPACT"&amp;"."&amp;$E46,DATA!$C:$C,0))*INDEX(REP.indexationfactors,(MATCH(CHARTYEAR,REP.yearsrange,0)))</f>
        <v>2082.1309251236598</v>
      </c>
      <c r="R46" s="623"/>
      <c r="S46" s="624"/>
      <c r="T46" s="624"/>
      <c r="U46" s="626"/>
      <c r="V46" s="626"/>
      <c r="W46" s="621"/>
    </row>
    <row r="47" spans="3:28" ht="16.2" customHeight="1" x14ac:dyDescent="0.3">
      <c r="C47" s="621"/>
      <c r="D47" s="619"/>
      <c r="E47" s="637" t="str">
        <v>Day Visitor</v>
      </c>
      <c r="F47" s="623">
        <f>INDEX(DATA!H:H,MATCH(CHARTYEAR&amp;"."&amp;"ECONOMIC IMPACT"&amp;"."&amp;$E47,DATA!$C:$C,0))*INDEX(REP.indexationfactors,(MATCH(CHARTYEAR,REP.yearsrange,0)))</f>
        <v>3983.2564983318734</v>
      </c>
      <c r="G47" s="623">
        <f>INDEX(DATA!I:I,MATCH(CHARTYEAR&amp;"."&amp;"ECONOMIC IMPACT"&amp;"."&amp;$E47,DATA!$C:$C,0))*INDEX(REP.indexationfactors,(MATCH(CHARTYEAR,REP.yearsrange,0)))</f>
        <v>14177.209581954488</v>
      </c>
      <c r="H47" s="623">
        <f>INDEX(DATA!J:J,MATCH(CHARTYEAR&amp;"."&amp;"ECONOMIC IMPACT"&amp;"."&amp;$E47,DATA!$C:$C,0))*INDEX(REP.indexationfactors,(MATCH(CHARTYEAR,REP.yearsrange,0)))</f>
        <v>15132.841648300986</v>
      </c>
      <c r="I47" s="623">
        <f>INDEX(DATA!K:K,MATCH(CHARTYEAR&amp;"."&amp;"ECONOMIC IMPACT"&amp;"."&amp;$E47,DATA!$C:$C,0))*INDEX(REP.indexationfactors,(MATCH(CHARTYEAR,REP.yearsrange,0)))</f>
        <v>44163.851832050801</v>
      </c>
      <c r="J47" s="623">
        <f>INDEX(DATA!L:L,MATCH(CHARTYEAR&amp;"."&amp;"ECONOMIC IMPACT"&amp;"."&amp;$E47,DATA!$C:$C,0))*INDEX(REP.indexationfactors,(MATCH(CHARTYEAR,REP.yearsrange,0)))</f>
        <v>40370.866089508694</v>
      </c>
      <c r="K47" s="623">
        <f>INDEX(DATA!M:M,MATCH(CHARTYEAR&amp;"."&amp;"ECONOMIC IMPACT"&amp;"."&amp;$E47,DATA!$C:$C,0))*INDEX(REP.indexationfactors,(MATCH(CHARTYEAR,REP.yearsrange,0)))</f>
        <v>45245.342806636312</v>
      </c>
      <c r="L47" s="623">
        <f>INDEX(DATA!N:N,MATCH(CHARTYEAR&amp;"."&amp;"ECONOMIC IMPACT"&amp;"."&amp;$E47,DATA!$C:$C,0))*INDEX(REP.indexationfactors,(MATCH(CHARTYEAR,REP.yearsrange,0)))</f>
        <v>65497.871955233117</v>
      </c>
      <c r="M47" s="623">
        <f>INDEX(DATA!O:O,MATCH(CHARTYEAR&amp;"."&amp;"ECONOMIC IMPACT"&amp;"."&amp;$E47,DATA!$C:$C,0))*INDEX(REP.indexationfactors,(MATCH(CHARTYEAR,REP.yearsrange,0)))</f>
        <v>80364.317192398375</v>
      </c>
      <c r="N47" s="623">
        <f>INDEX(DATA!P:P,MATCH(CHARTYEAR&amp;"."&amp;"ECONOMIC IMPACT"&amp;"."&amp;$E47,DATA!$C:$C,0))*INDEX(REP.indexationfactors,(MATCH(CHARTYEAR,REP.yearsrange,0)))</f>
        <v>39158.75083177472</v>
      </c>
      <c r="O47" s="623">
        <f>INDEX(DATA!Q:Q,MATCH(CHARTYEAR&amp;"."&amp;"ECONOMIC IMPACT"&amp;"."&amp;$E47,DATA!$C:$C,0))*INDEX(REP.indexationfactors,(MATCH(CHARTYEAR,REP.yearsrange,0)))</f>
        <v>21057.967462234203</v>
      </c>
      <c r="P47" s="623">
        <f>INDEX(DATA!R:R,MATCH(CHARTYEAR&amp;"."&amp;"ECONOMIC IMPACT"&amp;"."&amp;$E47,DATA!$C:$C,0))*INDEX(REP.indexationfactors,(MATCH(CHARTYEAR,REP.yearsrange,0)))</f>
        <v>6437.8269877706807</v>
      </c>
      <c r="Q47" s="623">
        <f>INDEX(DATA!S:S,MATCH(CHARTYEAR&amp;"."&amp;"ECONOMIC IMPACT"&amp;"."&amp;$E47,DATA!$C:$C,0))*INDEX(REP.indexationfactors,(MATCH(CHARTYEAR,REP.yearsrange,0)))</f>
        <v>2027.1758192882789</v>
      </c>
      <c r="R47" s="623"/>
      <c r="S47" s="627"/>
      <c r="T47" s="628"/>
      <c r="U47" s="627"/>
      <c r="V47" s="627"/>
      <c r="W47" s="621"/>
    </row>
    <row r="48" spans="3:28" ht="16.2" customHeight="1" x14ac:dyDescent="0.3">
      <c r="C48" s="621"/>
      <c r="D48" s="619"/>
      <c r="E48" s="637" t="str">
        <f t="array" ref="E48:E51">INDEX(TYPE.choices,{2;3;4;6})</f>
        <v>Serviced Accommodation</v>
      </c>
      <c r="F48" s="623">
        <f>INDEX(DATA!H:H,MATCH(CHARTYEAR&amp;"."&amp;"VISITOR NUMBERS"&amp;"."&amp;$E48,DATA!$C:$C,0))</f>
        <v>52.119305111933159</v>
      </c>
      <c r="G48" s="623">
        <f>INDEX(DATA!I:I,MATCH(CHARTYEAR&amp;"."&amp;"VISITOR NUMBERS"&amp;"."&amp;$E48,DATA!$C:$C,0))</f>
        <v>70.000796051456533</v>
      </c>
      <c r="H48" s="623">
        <f>INDEX(DATA!J:J,MATCH(CHARTYEAR&amp;"."&amp;"VISITOR NUMBERS"&amp;"."&amp;$E48,DATA!$C:$C,0))</f>
        <v>57.715186301471093</v>
      </c>
      <c r="I48" s="623">
        <f>INDEX(DATA!K:K,MATCH(CHARTYEAR&amp;"."&amp;"VISITOR NUMBERS"&amp;"."&amp;$E48,DATA!$C:$C,0))</f>
        <v>78.016084493293562</v>
      </c>
      <c r="J48" s="623">
        <f>INDEX(DATA!L:L,MATCH(CHARTYEAR&amp;"."&amp;"VISITOR NUMBERS"&amp;"."&amp;$E48,DATA!$C:$C,0))</f>
        <v>129.81291317870196</v>
      </c>
      <c r="K48" s="623">
        <f>INDEX(DATA!M:M,MATCH(CHARTYEAR&amp;"."&amp;"VISITOR NUMBERS"&amp;"."&amp;$E48,DATA!$C:$C,0))</f>
        <v>108.58890595230206</v>
      </c>
      <c r="L48" s="623">
        <f>INDEX(DATA!N:N,MATCH(CHARTYEAR&amp;"."&amp;"VISITOR NUMBERS"&amp;"."&amp;$E48,DATA!$C:$C,0))</f>
        <v>113.59338848204654</v>
      </c>
      <c r="M48" s="623">
        <f>INDEX(DATA!O:O,MATCH(CHARTYEAR&amp;"."&amp;"VISITOR NUMBERS"&amp;"."&amp;$E48,DATA!$C:$C,0))</f>
        <v>112.17719239525687</v>
      </c>
      <c r="N48" s="623">
        <f>INDEX(DATA!P:P,MATCH(CHARTYEAR&amp;"."&amp;"VISITOR NUMBERS"&amp;"."&amp;$E48,DATA!$C:$C,0))</f>
        <v>82.946295935303226</v>
      </c>
      <c r="O48" s="623">
        <f>INDEX(DATA!Q:Q,MATCH(CHARTYEAR&amp;"."&amp;"VISITOR NUMBERS"&amp;"."&amp;$E48,DATA!$C:$C,0))</f>
        <v>72.718224868091056</v>
      </c>
      <c r="P48" s="623">
        <f>INDEX(DATA!R:R,MATCH(CHARTYEAR&amp;"."&amp;"VISITOR NUMBERS"&amp;"."&amp;$E48,DATA!$C:$C,0))</f>
        <v>92.797901108728865</v>
      </c>
      <c r="Q48" s="623">
        <f>INDEX(DATA!S:S,MATCH(CHARTYEAR&amp;"."&amp;"VISITOR NUMBERS"&amp;"."&amp;$E48,DATA!$C:$C,0))</f>
        <v>69.970537102064242</v>
      </c>
      <c r="R48" s="623"/>
      <c r="S48" s="627"/>
      <c r="T48" s="628"/>
      <c r="U48" s="627"/>
      <c r="V48" s="627"/>
      <c r="W48" s="621"/>
    </row>
    <row r="49" spans="3:23" ht="16.2" customHeight="1" x14ac:dyDescent="0.3">
      <c r="C49" s="621"/>
      <c r="D49" s="619"/>
      <c r="E49" s="637" t="str">
        <v>Non-Serviced Accommodation</v>
      </c>
      <c r="F49" s="623">
        <f>INDEX(DATA!H:H,MATCH(CHARTYEAR&amp;"."&amp;"VISITOR NUMBERS"&amp;"."&amp;$E49,DATA!$C:$C,0))</f>
        <v>25.994701487586262</v>
      </c>
      <c r="G49" s="623">
        <f>INDEX(DATA!I:I,MATCH(CHARTYEAR&amp;"."&amp;"VISITOR NUMBERS"&amp;"."&amp;$E49,DATA!$C:$C,0))</f>
        <v>28.02699673137732</v>
      </c>
      <c r="H49" s="623">
        <f>INDEX(DATA!J:J,MATCH(CHARTYEAR&amp;"."&amp;"VISITOR NUMBERS"&amp;"."&amp;$E49,DATA!$C:$C,0))</f>
        <v>144.93364836460631</v>
      </c>
      <c r="I49" s="623">
        <f>INDEX(DATA!K:K,MATCH(CHARTYEAR&amp;"."&amp;"VISITOR NUMBERS"&amp;"."&amp;$E49,DATA!$C:$C,0))</f>
        <v>149.85502981834514</v>
      </c>
      <c r="J49" s="623">
        <f>INDEX(DATA!L:L,MATCH(CHARTYEAR&amp;"."&amp;"VISITOR NUMBERS"&amp;"."&amp;$E49,DATA!$C:$C,0))</f>
        <v>146.00891453868584</v>
      </c>
      <c r="K49" s="623">
        <f>INDEX(DATA!M:M,MATCH(CHARTYEAR&amp;"."&amp;"VISITOR NUMBERS"&amp;"."&amp;$E49,DATA!$C:$C,0))</f>
        <v>152.88973162137293</v>
      </c>
      <c r="L49" s="623">
        <f>INDEX(DATA!N:N,MATCH(CHARTYEAR&amp;"."&amp;"VISITOR NUMBERS"&amp;"."&amp;$E49,DATA!$C:$C,0))</f>
        <v>185.81729477117139</v>
      </c>
      <c r="M49" s="623">
        <f>INDEX(DATA!O:O,MATCH(CHARTYEAR&amp;"."&amp;"VISITOR NUMBERS"&amp;"."&amp;$E49,DATA!$C:$C,0))</f>
        <v>167.58894927780503</v>
      </c>
      <c r="N49" s="623">
        <f>INDEX(DATA!P:P,MATCH(CHARTYEAR&amp;"."&amp;"VISITOR NUMBERS"&amp;"."&amp;$E49,DATA!$C:$C,0))</f>
        <v>135.56970275758769</v>
      </c>
      <c r="O49" s="623">
        <f>INDEX(DATA!Q:Q,MATCH(CHARTYEAR&amp;"."&amp;"VISITOR NUMBERS"&amp;"."&amp;$E49,DATA!$C:$C,0))</f>
        <v>128.10935141803597</v>
      </c>
      <c r="P49" s="623">
        <f>INDEX(DATA!R:R,MATCH(CHARTYEAR&amp;"."&amp;"VISITOR NUMBERS"&amp;"."&amp;$E49,DATA!$C:$C,0))</f>
        <v>72.207509218856231</v>
      </c>
      <c r="Q49" s="623">
        <f>INDEX(DATA!S:S,MATCH(CHARTYEAR&amp;"."&amp;"VISITOR NUMBERS"&amp;"."&amp;$E49,DATA!$C:$C,0))</f>
        <v>18.051339839161116</v>
      </c>
      <c r="R49" s="623"/>
      <c r="S49" s="627"/>
      <c r="T49" s="628"/>
      <c r="U49" s="627"/>
      <c r="V49" s="627"/>
      <c r="W49" s="621"/>
    </row>
    <row r="50" spans="3:23" ht="16.2" customHeight="1" x14ac:dyDescent="0.3">
      <c r="C50" s="621"/>
      <c r="D50" s="619"/>
      <c r="E50" s="638" t="str">
        <v>SFR</v>
      </c>
      <c r="F50" s="623">
        <f>INDEX(DATA!H:H,MATCH(CHARTYEAR&amp;"."&amp;"VISITOR NUMBERS"&amp;"."&amp;$E50,DATA!$C:$C,0))</f>
        <v>23.487545454545451</v>
      </c>
      <c r="G50" s="623">
        <f>INDEX(DATA!I:I,MATCH(CHARTYEAR&amp;"."&amp;"VISITOR NUMBERS"&amp;"."&amp;$E50,DATA!$C:$C,0))</f>
        <v>9.3950181818181822</v>
      </c>
      <c r="H50" s="623">
        <f>INDEX(DATA!J:J,MATCH(CHARTYEAR&amp;"."&amp;"VISITOR NUMBERS"&amp;"."&amp;$E50,DATA!$C:$C,0))</f>
        <v>10.438909090909091</v>
      </c>
      <c r="I50" s="623">
        <f>INDEX(DATA!K:K,MATCH(CHARTYEAR&amp;"."&amp;"VISITOR NUMBERS"&amp;"."&amp;$E50,DATA!$C:$C,0))</f>
        <v>19.833927272727269</v>
      </c>
      <c r="J50" s="623">
        <f>INDEX(DATA!L:L,MATCH(CHARTYEAR&amp;"."&amp;"VISITOR NUMBERS"&amp;"."&amp;$E50,DATA!$C:$C,0))</f>
        <v>15.658363636363635</v>
      </c>
      <c r="K50" s="623">
        <f>INDEX(DATA!M:M,MATCH(CHARTYEAR&amp;"."&amp;"VISITOR NUMBERS"&amp;"."&amp;$E50,DATA!$C:$C,0))</f>
        <v>12.636299454545455</v>
      </c>
      <c r="L50" s="623">
        <f>INDEX(DATA!N:N,MATCH(CHARTYEAR&amp;"."&amp;"VISITOR NUMBERS"&amp;"."&amp;$E50,DATA!$C:$C,0))</f>
        <v>17.2242</v>
      </c>
      <c r="M50" s="623">
        <f>INDEX(DATA!O:O,MATCH(CHARTYEAR&amp;"."&amp;"VISITOR NUMBERS"&amp;"."&amp;$E50,DATA!$C:$C,0))</f>
        <v>17.532147818181816</v>
      </c>
      <c r="N50" s="623">
        <f>INDEX(DATA!P:P,MATCH(CHARTYEAR&amp;"."&amp;"VISITOR NUMBERS"&amp;"."&amp;$E50,DATA!$C:$C,0))</f>
        <v>10.819929272727274</v>
      </c>
      <c r="O50" s="623">
        <f>INDEX(DATA!Q:Q,MATCH(CHARTYEAR&amp;"."&amp;"VISITOR NUMBERS"&amp;"."&amp;$E50,DATA!$C:$C,0))</f>
        <v>10.960854545454545</v>
      </c>
      <c r="P50" s="623">
        <f>INDEX(DATA!R:R,MATCH(CHARTYEAR&amp;"."&amp;"VISITOR NUMBERS"&amp;"."&amp;$E50,DATA!$C:$C,0))</f>
        <v>9.0035590909090892</v>
      </c>
      <c r="Q50" s="623">
        <f>INDEX(DATA!S:S,MATCH(CHARTYEAR&amp;"."&amp;"VISITOR NUMBERS"&amp;"."&amp;$E50,DATA!$C:$C,0))</f>
        <v>20.355872727272725</v>
      </c>
      <c r="R50" s="623"/>
      <c r="S50" s="629"/>
      <c r="T50" s="628"/>
      <c r="U50" s="629"/>
      <c r="V50" s="629"/>
      <c r="W50" s="621"/>
    </row>
    <row r="51" spans="3:23" ht="16.2" customHeight="1" x14ac:dyDescent="0.3">
      <c r="C51" s="621"/>
      <c r="D51" s="619"/>
      <c r="E51" s="637" t="str">
        <v>Day Visitor</v>
      </c>
      <c r="F51" s="623">
        <f>INDEX(DATA!H:H,MATCH(CHARTYEAR&amp;"."&amp;"VISITOR NUMBERS"&amp;"."&amp;$E51,DATA!$C:$C,0))</f>
        <v>72.775941389191104</v>
      </c>
      <c r="G51" s="623">
        <f>INDEX(DATA!I:I,MATCH(CHARTYEAR&amp;"."&amp;"VISITOR NUMBERS"&amp;"."&amp;$E51,DATA!$C:$C,0))</f>
        <v>259.02418637380833</v>
      </c>
      <c r="H51" s="623">
        <f>INDEX(DATA!J:J,MATCH(CHARTYEAR&amp;"."&amp;"VISITOR NUMBERS"&amp;"."&amp;$E51,DATA!$C:$C,0))</f>
        <v>276.48402690358336</v>
      </c>
      <c r="I51" s="623">
        <f>INDEX(DATA!K:K,MATCH(CHARTYEAR&amp;"."&amp;"VISITOR NUMBERS"&amp;"."&amp;$E51,DATA!$C:$C,0))</f>
        <v>806.89403100107938</v>
      </c>
      <c r="J51" s="623">
        <f>INDEX(DATA!L:L,MATCH(CHARTYEAR&amp;"."&amp;"VISITOR NUMBERS"&amp;"."&amp;$E51,DATA!$C:$C,0))</f>
        <v>737.59442445932575</v>
      </c>
      <c r="K51" s="623">
        <f>INDEX(DATA!M:M,MATCH(CHARTYEAR&amp;"."&amp;"VISITOR NUMBERS"&amp;"."&amp;$E51,DATA!$C:$C,0))</f>
        <v>826.65337208602716</v>
      </c>
      <c r="L51" s="623">
        <f>INDEX(DATA!N:N,MATCH(CHARTYEAR&amp;"."&amp;"VISITOR NUMBERS"&amp;"."&amp;$E51,DATA!$C:$C,0))</f>
        <v>1196.6764612138327</v>
      </c>
      <c r="M51" s="623">
        <f>INDEX(DATA!O:O,MATCH(CHARTYEAR&amp;"."&amp;"VISITOR NUMBERS"&amp;"."&amp;$E51,DATA!$C:$C,0))</f>
        <v>1468.293302283106</v>
      </c>
      <c r="N51" s="623">
        <f>INDEX(DATA!P:P,MATCH(CHARTYEAR&amp;"."&amp;"VISITOR NUMBERS"&amp;"."&amp;$E51,DATA!$C:$C,0))</f>
        <v>715.448517212144</v>
      </c>
      <c r="O51" s="623">
        <f>INDEX(DATA!Q:Q,MATCH(CHARTYEAR&amp;"."&amp;"VISITOR NUMBERS"&amp;"."&amp;$E51,DATA!$C:$C,0))</f>
        <v>384.73882022130454</v>
      </c>
      <c r="P51" s="623">
        <f>INDEX(DATA!R:R,MATCH(CHARTYEAR&amp;"."&amp;"VISITOR NUMBERS"&amp;"."&amp;$E51,DATA!$C:$C,0))</f>
        <v>117.62208126239432</v>
      </c>
      <c r="Q51" s="623">
        <f>INDEX(DATA!S:S,MATCH(CHARTYEAR&amp;"."&amp;"VISITOR NUMBERS"&amp;"."&amp;$E51,DATA!$C:$C,0))</f>
        <v>37.037441267438439</v>
      </c>
      <c r="R51" s="623"/>
      <c r="S51" s="629"/>
      <c r="T51" s="627"/>
      <c r="U51" s="629"/>
      <c r="V51" s="629"/>
      <c r="W51" s="621"/>
    </row>
    <row r="52" spans="3:23" ht="16.2" customHeight="1" x14ac:dyDescent="0.3">
      <c r="C52" s="621"/>
      <c r="D52" s="619"/>
      <c r="E52" s="637" t="str">
        <f t="array" ref="E52:E55">INDEX(TYPE.choices,{2;3;4;6})</f>
        <v>Serviced Accommodation</v>
      </c>
      <c r="F52" s="623">
        <f>INDEX(DATA!H:H,MATCH(CHARTYEAR&amp;"."&amp;"VISITOR DAYS"&amp;"."&amp;$E52,DATA!$C:$C,0))</f>
        <v>79.464068818813601</v>
      </c>
      <c r="G52" s="623">
        <f>INDEX(DATA!I:I,MATCH(CHARTYEAR&amp;"."&amp;"VISITOR DAYS"&amp;"."&amp;$E52,DATA!$C:$C,0))</f>
        <v>103.88030701629387</v>
      </c>
      <c r="H52" s="623">
        <f>INDEX(DATA!J:J,MATCH(CHARTYEAR&amp;"."&amp;"VISITOR DAYS"&amp;"."&amp;$E52,DATA!$C:$C,0))</f>
        <v>119.22833192259154</v>
      </c>
      <c r="I52" s="623">
        <f>INDEX(DATA!K:K,MATCH(CHARTYEAR&amp;"."&amp;"VISITOR DAYS"&amp;"."&amp;$E52,DATA!$C:$C,0))</f>
        <v>142.2459378500244</v>
      </c>
      <c r="J52" s="623">
        <f>INDEX(DATA!L:L,MATCH(CHARTYEAR&amp;"."&amp;"VISITOR DAYS"&amp;"."&amp;$E52,DATA!$C:$C,0))</f>
        <v>244.87861423556387</v>
      </c>
      <c r="K52" s="623">
        <f>INDEX(DATA!M:M,MATCH(CHARTYEAR&amp;"."&amp;"VISITOR DAYS"&amp;"."&amp;$E52,DATA!$C:$C,0))</f>
        <v>193.62842624018845</v>
      </c>
      <c r="L52" s="623">
        <f>INDEX(DATA!N:N,MATCH(CHARTYEAR&amp;"."&amp;"VISITOR DAYS"&amp;"."&amp;$E52,DATA!$C:$C,0))</f>
        <v>202.09923627030872</v>
      </c>
      <c r="M52" s="623">
        <f>INDEX(DATA!O:O,MATCH(CHARTYEAR&amp;"."&amp;"VISITOR DAYS"&amp;"."&amp;$E52,DATA!$C:$C,0))</f>
        <v>201.71895164113042</v>
      </c>
      <c r="N52" s="630">
        <f>INDEX(DATA!P:P,MATCH(CHARTYEAR&amp;"."&amp;"VISITOR DAYS"&amp;"."&amp;$E52,DATA!$C:$C,0))</f>
        <v>164.7370737567137</v>
      </c>
      <c r="O52" s="630">
        <f>INDEX(DATA!Q:Q,MATCH(CHARTYEAR&amp;"."&amp;"VISITOR DAYS"&amp;"."&amp;$E52,DATA!$C:$C,0))</f>
        <v>125.27745196619583</v>
      </c>
      <c r="P52" s="630">
        <f>INDEX(DATA!R:R,MATCH(CHARTYEAR&amp;"."&amp;"VISITOR DAYS"&amp;"."&amp;$E52,DATA!$C:$C,0))</f>
        <v>160.67604521436874</v>
      </c>
      <c r="Q52" s="630">
        <f>INDEX(DATA!S:S,MATCH(CHARTYEAR&amp;"."&amp;"VISITOR DAYS"&amp;"."&amp;$E52,DATA!$C:$C,0))</f>
        <v>114.50035213797347</v>
      </c>
      <c r="R52" s="625"/>
      <c r="S52" s="629"/>
      <c r="T52" s="627"/>
      <c r="U52" s="629"/>
      <c r="V52" s="629"/>
      <c r="W52" s="621"/>
    </row>
    <row r="53" spans="3:23" ht="16.2" customHeight="1" x14ac:dyDescent="0.3">
      <c r="C53" s="621"/>
      <c r="D53" s="619"/>
      <c r="E53" s="637" t="str">
        <v>Non-Serviced Accommodation</v>
      </c>
      <c r="F53" s="623">
        <f>INDEX(DATA!H:H,MATCH(CHARTYEAR&amp;"."&amp;"VISITOR DAYS"&amp;"."&amp;$E53,DATA!$C:$C,0))</f>
        <v>88.381985057793287</v>
      </c>
      <c r="G53" s="623">
        <f>INDEX(DATA!I:I,MATCH(CHARTYEAR&amp;"."&amp;"VISITOR DAYS"&amp;"."&amp;$E53,DATA!$C:$C,0))</f>
        <v>112.10798692550928</v>
      </c>
      <c r="H53" s="623">
        <f>INDEX(DATA!J:J,MATCH(CHARTYEAR&amp;"."&amp;"VISITOR DAYS"&amp;"."&amp;$E53,DATA!$C:$C,0))</f>
        <v>695.68151215011028</v>
      </c>
      <c r="I53" s="623">
        <f>INDEX(DATA!K:K,MATCH(CHARTYEAR&amp;"."&amp;"VISITOR DAYS"&amp;"."&amp;$E53,DATA!$C:$C,0))</f>
        <v>959.07219083740904</v>
      </c>
      <c r="J53" s="623">
        <f>INDEX(DATA!L:L,MATCH(CHARTYEAR&amp;"."&amp;"VISITOR DAYS"&amp;"."&amp;$E53,DATA!$C:$C,0))</f>
        <v>1007.4615103169324</v>
      </c>
      <c r="K53" s="623">
        <f>INDEX(DATA!M:M,MATCH(CHARTYEAR&amp;"."&amp;"VISITOR DAYS"&amp;"."&amp;$E53,DATA!$C:$C,0))</f>
        <v>1070.2281213496108</v>
      </c>
      <c r="L53" s="623">
        <f>INDEX(DATA!N:N,MATCH(CHARTYEAR&amp;"."&amp;"VISITOR DAYS"&amp;"."&amp;$E53,DATA!$C:$C,0))</f>
        <v>1319.3027928753168</v>
      </c>
      <c r="M53" s="623">
        <f>INDEX(DATA!O:O,MATCH(CHARTYEAR&amp;"."&amp;"VISITOR DAYS"&amp;"."&amp;$E53,DATA!$C:$C,0))</f>
        <v>1273.676014511318</v>
      </c>
      <c r="N53" s="630">
        <f>INDEX(DATA!P:P,MATCH(CHARTYEAR&amp;"."&amp;"VISITOR DAYS"&amp;"."&amp;$E53,DATA!$C:$C,0))</f>
        <v>935.43094902735515</v>
      </c>
      <c r="O53" s="630">
        <f>INDEX(DATA!Q:Q,MATCH(CHARTYEAR&amp;"."&amp;"VISITOR DAYS"&amp;"."&amp;$E53,DATA!$C:$C,0))</f>
        <v>896.76545992625188</v>
      </c>
      <c r="P53" s="630">
        <f>INDEX(DATA!R:R,MATCH(CHARTYEAR&amp;"."&amp;"VISITOR DAYS"&amp;"."&amp;$E53,DATA!$C:$C,0))</f>
        <v>324.93379148485303</v>
      </c>
      <c r="Q53" s="630">
        <f>INDEX(DATA!S:S,MATCH(CHARTYEAR&amp;"."&amp;"VISITOR DAYS"&amp;"."&amp;$E53,DATA!$C:$C,0))</f>
        <v>101.08750309930225</v>
      </c>
      <c r="R53" s="625"/>
      <c r="S53" s="629"/>
      <c r="T53" s="627"/>
      <c r="U53" s="629"/>
      <c r="V53" s="629"/>
      <c r="W53" s="621"/>
    </row>
    <row r="54" spans="3:23" ht="16.2" customHeight="1" x14ac:dyDescent="0.3">
      <c r="C54" s="621"/>
      <c r="D54" s="619"/>
      <c r="E54" s="638" t="str">
        <v>SFR</v>
      </c>
      <c r="F54" s="623">
        <f>INDEX(DATA!H:H,MATCH(CHARTYEAR&amp;"."&amp;"VISITOR DAYS"&amp;"."&amp;$E54,DATA!$C:$C,0))</f>
        <v>58.718863636363629</v>
      </c>
      <c r="G54" s="623">
        <f>INDEX(DATA!I:I,MATCH(CHARTYEAR&amp;"."&amp;"VISITOR DAYS"&amp;"."&amp;$E54,DATA!$C:$C,0))</f>
        <v>19.729538181818182</v>
      </c>
      <c r="H54" s="623">
        <f>INDEX(DATA!J:J,MATCH(CHARTYEAR&amp;"."&amp;"VISITOR DAYS"&amp;"."&amp;$E54,DATA!$C:$C,0))</f>
        <v>22.443654545454546</v>
      </c>
      <c r="I54" s="623">
        <f>INDEX(DATA!K:K,MATCH(CHARTYEAR&amp;"."&amp;"VISITOR DAYS"&amp;"."&amp;$E54,DATA!$C:$C,0))</f>
        <v>53.55160363636363</v>
      </c>
      <c r="J54" s="623">
        <f>INDEX(DATA!L:L,MATCH(CHARTYEAR&amp;"."&amp;"VISITOR DAYS"&amp;"."&amp;$E54,DATA!$C:$C,0))</f>
        <v>34.448399999999999</v>
      </c>
      <c r="K54" s="623">
        <f>INDEX(DATA!M:M,MATCH(CHARTYEAR&amp;"."&amp;"VISITOR DAYS"&amp;"."&amp;$E54,DATA!$C:$C,0))</f>
        <v>26.536228854545456</v>
      </c>
      <c r="L54" s="623">
        <f>INDEX(DATA!N:N,MATCH(CHARTYEAR&amp;"."&amp;"VISITOR DAYS"&amp;"."&amp;$E54,DATA!$C:$C,0))</f>
        <v>43.060499999999998</v>
      </c>
      <c r="M54" s="623">
        <f>INDEX(DATA!O:O,MATCH(CHARTYEAR&amp;"."&amp;"VISITOR DAYS"&amp;"."&amp;$E54,DATA!$C:$C,0))</f>
        <v>45.583584327272725</v>
      </c>
      <c r="N54" s="630">
        <f>INDEX(DATA!P:P,MATCH(CHARTYEAR&amp;"."&amp;"VISITOR DAYS"&amp;"."&amp;$E54,DATA!$C:$C,0))</f>
        <v>23.479246521818183</v>
      </c>
      <c r="O54" s="630">
        <f>INDEX(DATA!Q:Q,MATCH(CHARTYEAR&amp;"."&amp;"VISITOR DAYS"&amp;"."&amp;$E54,DATA!$C:$C,0))</f>
        <v>23.456228727272727</v>
      </c>
      <c r="P54" s="630">
        <f>INDEX(DATA!R:R,MATCH(CHARTYEAR&amp;"."&amp;"VISITOR DAYS"&amp;"."&amp;$E54,DATA!$C:$C,0))</f>
        <v>18.277224954545449</v>
      </c>
      <c r="Q54" s="630">
        <f>INDEX(DATA!S:S,MATCH(CHARTYEAR&amp;"."&amp;"VISITOR DAYS"&amp;"."&amp;$E54,DATA!$C:$C,0))</f>
        <v>52.92526909090909</v>
      </c>
      <c r="R54" s="625"/>
      <c r="S54" s="621"/>
      <c r="T54" s="621"/>
      <c r="U54" s="621"/>
      <c r="V54" s="621"/>
      <c r="W54" s="621"/>
    </row>
    <row r="55" spans="3:23" ht="16.2" customHeight="1" x14ac:dyDescent="0.3">
      <c r="C55" s="621"/>
      <c r="D55" s="619"/>
      <c r="E55" s="637" t="str">
        <v>Day Visitor</v>
      </c>
      <c r="F55" s="623">
        <f>INDEX(DATA!H:H,MATCH(CHARTYEAR&amp;"."&amp;"VISITOR DAYS"&amp;"."&amp;$E55,DATA!$C:$C,0))</f>
        <v>72.775941389191104</v>
      </c>
      <c r="G55" s="623">
        <f>INDEX(DATA!I:I,MATCH(CHARTYEAR&amp;"."&amp;"VISITOR DAYS"&amp;"."&amp;$E55,DATA!$C:$C,0))</f>
        <v>259.02418637380833</v>
      </c>
      <c r="H55" s="623">
        <f>INDEX(DATA!J:J,MATCH(CHARTYEAR&amp;"."&amp;"VISITOR DAYS"&amp;"."&amp;$E55,DATA!$C:$C,0))</f>
        <v>276.48402690358336</v>
      </c>
      <c r="I55" s="623">
        <f>INDEX(DATA!K:K,MATCH(CHARTYEAR&amp;"."&amp;"VISITOR DAYS"&amp;"."&amp;$E55,DATA!$C:$C,0))</f>
        <v>806.89403100107938</v>
      </c>
      <c r="J55" s="623">
        <f>INDEX(DATA!L:L,MATCH(CHARTYEAR&amp;"."&amp;"VISITOR DAYS"&amp;"."&amp;$E55,DATA!$C:$C,0))</f>
        <v>737.59442445932575</v>
      </c>
      <c r="K55" s="623">
        <f>INDEX(DATA!M:M,MATCH(CHARTYEAR&amp;"."&amp;"VISITOR DAYS"&amp;"."&amp;$E55,DATA!$C:$C,0))</f>
        <v>826.65337208602716</v>
      </c>
      <c r="L55" s="623">
        <f>INDEX(DATA!N:N,MATCH(CHARTYEAR&amp;"."&amp;"VISITOR DAYS"&amp;"."&amp;$E55,DATA!$C:$C,0))</f>
        <v>1196.6764612138327</v>
      </c>
      <c r="M55" s="623">
        <f>INDEX(DATA!O:O,MATCH(CHARTYEAR&amp;"."&amp;"VISITOR DAYS"&amp;"."&amp;$E55,DATA!$C:$C,0))</f>
        <v>1468.293302283106</v>
      </c>
      <c r="N55" s="630">
        <f>INDEX(DATA!P:P,MATCH(CHARTYEAR&amp;"."&amp;"VISITOR DAYS"&amp;"."&amp;$E55,DATA!$C:$C,0))</f>
        <v>715.448517212144</v>
      </c>
      <c r="O55" s="630">
        <f>INDEX(DATA!Q:Q,MATCH(CHARTYEAR&amp;"."&amp;"VISITOR DAYS"&amp;"."&amp;$E55,DATA!$C:$C,0))</f>
        <v>384.73882022130454</v>
      </c>
      <c r="P55" s="630">
        <f>INDEX(DATA!R:R,MATCH(CHARTYEAR&amp;"."&amp;"VISITOR DAYS"&amp;"."&amp;$E55,DATA!$C:$C,0))</f>
        <v>117.62208126239432</v>
      </c>
      <c r="Q55" s="630">
        <f>INDEX(DATA!S:S,MATCH(CHARTYEAR&amp;"."&amp;"VISITOR DAYS"&amp;"."&amp;$E55,DATA!$C:$C,0))</f>
        <v>37.037441267438439</v>
      </c>
      <c r="R55" s="625"/>
      <c r="S55" s="624"/>
      <c r="T55" s="624"/>
      <c r="U55" s="624"/>
      <c r="V55" s="624"/>
      <c r="W55" s="621"/>
    </row>
    <row r="56" spans="3:23" ht="16.2" customHeight="1" x14ac:dyDescent="0.3">
      <c r="C56" s="621"/>
      <c r="D56" s="619"/>
      <c r="E56" s="637" t="str">
        <f t="array" ref="E56:E59">INDEX(TYPE.choices,{2;3;4;6})</f>
        <v>Serviced Accommodation</v>
      </c>
      <c r="F56" s="631">
        <f>INDEX(DATA!H:H,MATCH(CHARTYEAR&amp;"."&amp;"EMPLOYMENT"&amp;"."&amp;$E56,DATA!$C:$C,0))</f>
        <v>1843.3920607901405</v>
      </c>
      <c r="G56" s="631">
        <f>INDEX(DATA!I:I,MATCH(CHARTYEAR&amp;"."&amp;"EMPLOYMENT"&amp;"."&amp;$E56,DATA!$C:$C,0))</f>
        <v>2067.6452485735817</v>
      </c>
      <c r="H56" s="631">
        <f>INDEX(DATA!J:J,MATCH(CHARTYEAR&amp;"."&amp;"EMPLOYMENT"&amp;"."&amp;$E56,DATA!$C:$C,0))</f>
        <v>2261.712411587413</v>
      </c>
      <c r="I56" s="631">
        <f>INDEX(DATA!K:K,MATCH(CHARTYEAR&amp;"."&amp;"EMPLOYMENT"&amp;"."&amp;$E56,DATA!$C:$C,0))</f>
        <v>2400.7890540291414</v>
      </c>
      <c r="J56" s="631">
        <f>INDEX(DATA!L:L,MATCH(CHARTYEAR&amp;"."&amp;"EMPLOYMENT"&amp;"."&amp;$E56,DATA!$C:$C,0))</f>
        <v>3023.3534584218487</v>
      </c>
      <c r="K56" s="631">
        <f>INDEX(DATA!M:M,MATCH(CHARTYEAR&amp;"."&amp;"EMPLOYMENT"&amp;"."&amp;$E56,DATA!$C:$C,0))</f>
        <v>2654.7800136719793</v>
      </c>
      <c r="L56" s="631">
        <f>INDEX(DATA!N:N,MATCH(CHARTYEAR&amp;"."&amp;"EMPLOYMENT"&amp;"."&amp;$E56,DATA!$C:$C,0))</f>
        <v>2883.3604441206535</v>
      </c>
      <c r="M56" s="631">
        <f>INDEX(DATA!O:O,MATCH(CHARTYEAR&amp;"."&amp;"EMPLOYMENT"&amp;"."&amp;$E56,DATA!$C:$C,0))</f>
        <v>2706.2976831747646</v>
      </c>
      <c r="N56" s="631">
        <f>INDEX(DATA!P:P,MATCH(CHARTYEAR&amp;"."&amp;"EMPLOYMENT"&amp;"."&amp;$E56,DATA!$C:$C,0))</f>
        <v>2524.2937668742661</v>
      </c>
      <c r="O56" s="631">
        <f>INDEX(DATA!Q:Q,MATCH(CHARTYEAR&amp;"."&amp;"EMPLOYMENT"&amp;"."&amp;$E56,DATA!$C:$C,0))</f>
        <v>2314.8542672143258</v>
      </c>
      <c r="P56" s="631">
        <f>INDEX(DATA!R:R,MATCH(CHARTYEAR&amp;"."&amp;"EMPLOYMENT"&amp;"."&amp;$E56,DATA!$C:$C,0))</f>
        <v>2407.6486041486824</v>
      </c>
      <c r="Q56" s="631">
        <f>INDEX(DATA!S:S,MATCH(CHARTYEAR&amp;"."&amp;"EMPLOYMENT"&amp;"."&amp;$E56,DATA!$C:$C,0))</f>
        <v>2100.320925885012</v>
      </c>
      <c r="R56" s="625"/>
      <c r="S56" s="625"/>
      <c r="T56" s="625"/>
      <c r="U56" s="625"/>
      <c r="V56" s="621"/>
      <c r="W56" s="621"/>
    </row>
    <row r="57" spans="3:23" ht="16.2" customHeight="1" x14ac:dyDescent="0.3">
      <c r="C57" s="621"/>
      <c r="D57" s="619"/>
      <c r="E57" s="637" t="str">
        <v>Non-Serviced Accommodation</v>
      </c>
      <c r="F57" s="631">
        <f>INDEX(DATA!H:H,MATCH(CHARTYEAR&amp;"."&amp;"EMPLOYMENT"&amp;"."&amp;$E57,DATA!$C:$C,0))</f>
        <v>1508.6608689872921</v>
      </c>
      <c r="G57" s="631">
        <f>INDEX(DATA!I:I,MATCH(CHARTYEAR&amp;"."&amp;"EMPLOYMENT"&amp;"."&amp;$E57,DATA!$C:$C,0))</f>
        <v>1629.0530581227717</v>
      </c>
      <c r="H57" s="631">
        <f>INDEX(DATA!J:J,MATCH(CHARTYEAR&amp;"."&amp;"EMPLOYMENT"&amp;"."&amp;$E57,DATA!$C:$C,0))</f>
        <v>4142.8873481769242</v>
      </c>
      <c r="I57" s="631">
        <f>INDEX(DATA!K:K,MATCH(CHARTYEAR&amp;"."&amp;"EMPLOYMENT"&amp;"."&amp;$E57,DATA!$C:$C,0))</f>
        <v>5140.0295659593685</v>
      </c>
      <c r="J57" s="631">
        <f>INDEX(DATA!L:L,MATCH(CHARTYEAR&amp;"."&amp;"EMPLOYMENT"&amp;"."&amp;$E57,DATA!$C:$C,0))</f>
        <v>5221.9940680089248</v>
      </c>
      <c r="K57" s="631">
        <f>INDEX(DATA!M:M,MATCH(CHARTYEAR&amp;"."&amp;"EMPLOYMENT"&amp;"."&amp;$E57,DATA!$C:$C,0))</f>
        <v>5559.9525843000883</v>
      </c>
      <c r="L57" s="631">
        <f>INDEX(DATA!N:N,MATCH(CHARTYEAR&amp;"."&amp;"EMPLOYMENT"&amp;"."&amp;$E57,DATA!$C:$C,0))</f>
        <v>6429.9750642653662</v>
      </c>
      <c r="M57" s="631">
        <f>INDEX(DATA!O:O,MATCH(CHARTYEAR&amp;"."&amp;"EMPLOYMENT"&amp;"."&amp;$E57,DATA!$C:$C,0))</f>
        <v>6137.8835359732666</v>
      </c>
      <c r="N57" s="631">
        <f>INDEX(DATA!P:P,MATCH(CHARTYEAR&amp;"."&amp;"EMPLOYMENT"&amp;"."&amp;$E57,DATA!$C:$C,0))</f>
        <v>4903.1291048107114</v>
      </c>
      <c r="O57" s="631">
        <f>INDEX(DATA!Q:Q,MATCH(CHARTYEAR&amp;"."&amp;"EMPLOYMENT"&amp;"."&amp;$E57,DATA!$C:$C,0))</f>
        <v>4792.1974955524856</v>
      </c>
      <c r="P57" s="631">
        <f>INDEX(DATA!R:R,MATCH(CHARTYEAR&amp;"."&amp;"EMPLOYMENT"&amp;"."&amp;$E57,DATA!$C:$C,0))</f>
        <v>2456.8925196647237</v>
      </c>
      <c r="Q57" s="631">
        <f>INDEX(DATA!S:S,MATCH(CHARTYEAR&amp;"."&amp;"EMPLOYMENT"&amp;"."&amp;$E57,DATA!$C:$C,0))</f>
        <v>1540.8574200088622</v>
      </c>
      <c r="R57" s="632"/>
      <c r="S57" s="632"/>
      <c r="T57" s="632"/>
      <c r="U57" s="632"/>
      <c r="V57" s="621"/>
      <c r="W57" s="621"/>
    </row>
    <row r="58" spans="3:23" ht="16.2" customHeight="1" x14ac:dyDescent="0.3">
      <c r="C58" s="621"/>
      <c r="D58" s="619"/>
      <c r="E58" s="638" t="str">
        <v>SFR</v>
      </c>
      <c r="F58" s="631">
        <f>INDEX(DATA!H:H,MATCH(CHARTYEAR&amp;"."&amp;"EMPLOYMENT"&amp;"."&amp;$E58,DATA!$C:$C,0))</f>
        <v>230.45508047318214</v>
      </c>
      <c r="G58" s="631">
        <f>INDEX(DATA!I:I,MATCH(CHARTYEAR&amp;"."&amp;"EMPLOYMENT"&amp;"."&amp;$E58,DATA!$C:$C,0))</f>
        <v>77.432907038989214</v>
      </c>
      <c r="H58" s="631">
        <f>INDEX(DATA!J:J,MATCH(CHARTYEAR&amp;"."&amp;"EMPLOYMENT"&amp;"."&amp;$E58,DATA!$C:$C,0))</f>
        <v>88.085052980860738</v>
      </c>
      <c r="I58" s="631">
        <f>INDEX(DATA!K:K,MATCH(CHARTYEAR&amp;"."&amp;"EMPLOYMENT"&amp;"."&amp;$E58,DATA!$C:$C,0))</f>
        <v>204.55849028366939</v>
      </c>
      <c r="J58" s="631">
        <f>INDEX(DATA!L:L,MATCH(CHARTYEAR&amp;"."&amp;"EMPLOYMENT"&amp;"."&amp;$E58,DATA!$C:$C,0))</f>
        <v>131.5873329310154</v>
      </c>
      <c r="K58" s="631">
        <f>INDEX(DATA!M:M,MATCH(CHARTYEAR&amp;"."&amp;"EMPLOYMENT"&amp;"."&amp;$E58,DATA!$C:$C,0))</f>
        <v>101.36411505372357</v>
      </c>
      <c r="L58" s="631">
        <f>INDEX(DATA!N:N,MATCH(CHARTYEAR&amp;"."&amp;"EMPLOYMENT"&amp;"."&amp;$E58,DATA!$C:$C,0))</f>
        <v>164.48416616376926</v>
      </c>
      <c r="M58" s="631">
        <f>INDEX(DATA!O:O,MATCH(CHARTYEAR&amp;"."&amp;"EMPLOYMENT"&amp;"."&amp;$E58,DATA!$C:$C,0))</f>
        <v>174.12194142723183</v>
      </c>
      <c r="N58" s="631">
        <f>INDEX(DATA!P:P,MATCH(CHARTYEAR&amp;"."&amp;"EMPLOYMENT"&amp;"."&amp;$E58,DATA!$C:$C,0))</f>
        <v>89.686935504577121</v>
      </c>
      <c r="O58" s="631">
        <f>INDEX(DATA!Q:Q,MATCH(CHARTYEAR&amp;"."&amp;"EMPLOYMENT"&amp;"."&amp;$E58,DATA!$C:$C,0))</f>
        <v>89.599011241209567</v>
      </c>
      <c r="P58" s="631">
        <f>INDEX(DATA!R:R,MATCH(CHARTYEAR&amp;"."&amp;"EMPLOYMENT"&amp;"."&amp;$E58,DATA!$C:$C,0))</f>
        <v>69.81605198351258</v>
      </c>
      <c r="Q58" s="631">
        <f>INDEX(DATA!S:S,MATCH(CHARTYEAR&amp;"."&amp;"EMPLOYMENT"&amp;"."&amp;$E58,DATA!$C:$C,0))</f>
        <v>202.16599332128729</v>
      </c>
      <c r="R58" s="627"/>
      <c r="S58" s="627"/>
      <c r="T58" s="627"/>
      <c r="U58" s="627"/>
      <c r="V58" s="621"/>
      <c r="W58" s="621"/>
    </row>
    <row r="59" spans="3:23" ht="16.2" customHeight="1" x14ac:dyDescent="0.3">
      <c r="C59" s="621"/>
      <c r="D59" s="619"/>
      <c r="E59" s="637" t="str">
        <v>Day Visitor</v>
      </c>
      <c r="F59" s="631">
        <f>INDEX(DATA!H:H,MATCH(CHARTYEAR&amp;"."&amp;"EMPLOYMENT"&amp;"."&amp;$E59,DATA!$C:$C,0))</f>
        <v>364.41431437026512</v>
      </c>
      <c r="G59" s="631">
        <f>INDEX(DATA!I:I,MATCH(CHARTYEAR&amp;"."&amp;"EMPLOYMENT"&amp;"."&amp;$E59,DATA!$C:$C,0))</f>
        <v>1297.0237070234111</v>
      </c>
      <c r="H59" s="631">
        <f>INDEX(DATA!J:J,MATCH(CHARTYEAR&amp;"."&amp;"EMPLOYMENT"&amp;"."&amp;$E59,DATA!$C:$C,0))</f>
        <v>1384.4511685473528</v>
      </c>
      <c r="I59" s="631">
        <f>INDEX(DATA!K:K,MATCH(CHARTYEAR&amp;"."&amp;"EMPLOYMENT"&amp;"."&amp;$E59,DATA!$C:$C,0))</f>
        <v>3966.6045047105104</v>
      </c>
      <c r="J59" s="631">
        <f>INDEX(DATA!L:L,MATCH(CHARTYEAR&amp;"."&amp;"EMPLOYMENT"&amp;"."&amp;$E59,DATA!$C:$C,0))</f>
        <v>3625.935072390942</v>
      </c>
      <c r="K59" s="631">
        <f>INDEX(DATA!M:M,MATCH(CHARTYEAR&amp;"."&amp;"EMPLOYMENT"&amp;"."&amp;$E59,DATA!$C:$C,0))</f>
        <v>4063.7393059934316</v>
      </c>
      <c r="L59" s="631">
        <f>INDEX(DATA!N:N,MATCH(CHARTYEAR&amp;"."&amp;"EMPLOYMENT"&amp;"."&amp;$E59,DATA!$C:$C,0))</f>
        <v>5882.7331215261793</v>
      </c>
      <c r="M59" s="631">
        <f>INDEX(DATA!O:O,MATCH(CHARTYEAR&amp;"."&amp;"EMPLOYMENT"&amp;"."&amp;$E59,DATA!$C:$C,0))</f>
        <v>7217.9723771740828</v>
      </c>
      <c r="N59" s="631">
        <f>INDEX(DATA!P:P,MATCH(CHARTYEAR&amp;"."&amp;"EMPLOYMENT"&amp;"."&amp;$E59,DATA!$C:$C,0))</f>
        <v>3517.0681678500969</v>
      </c>
      <c r="O59" s="631">
        <f>INDEX(DATA!Q:Q,MATCH(CHARTYEAR&amp;"."&amp;"EMPLOYMENT"&amp;"."&amp;$E59,DATA!$C:$C,0))</f>
        <v>1891.3347711017982</v>
      </c>
      <c r="P59" s="631">
        <f>INDEX(DATA!R:R,MATCH(CHARTYEAR&amp;"."&amp;"EMPLOYMENT"&amp;"."&amp;$E59,DATA!$C:$C,0))</f>
        <v>578.21753472385637</v>
      </c>
      <c r="Q59" s="631">
        <f>INDEX(DATA!S:S,MATCH(CHARTYEAR&amp;"."&amp;"EMPLOYMENT"&amp;"."&amp;$E59,DATA!$C:$C,0))</f>
        <v>182.07208844029202</v>
      </c>
      <c r="R59" s="627"/>
      <c r="S59" s="627"/>
      <c r="T59" s="627"/>
      <c r="U59" s="627"/>
      <c r="V59" s="621"/>
      <c r="W59" s="621"/>
    </row>
    <row r="60" spans="3:23" ht="16.2" customHeight="1" x14ac:dyDescent="0.3">
      <c r="C60" s="621"/>
      <c r="D60" s="619"/>
      <c r="E60" s="635">
        <f>CHARTYEAR</f>
        <v>2022</v>
      </c>
      <c r="F60" s="639" t="str">
        <f t="array" ref="F60:Q60">{"Jan","Feb","Mar","Apr","May","Jun","Jul","Aug","Sep","Oct","Nov","Dec"}</f>
        <v>Jan</v>
      </c>
      <c r="G60" s="640" t="str">
        <v>Feb</v>
      </c>
      <c r="H60" s="639" t="str">
        <v>Mar</v>
      </c>
      <c r="I60" s="639" t="str">
        <v>Apr</v>
      </c>
      <c r="J60" s="639" t="str">
        <v>May</v>
      </c>
      <c r="K60" s="639" t="str">
        <v>Jun</v>
      </c>
      <c r="L60" s="639" t="str">
        <v>Jul</v>
      </c>
      <c r="M60" s="639" t="str">
        <v>Aug</v>
      </c>
      <c r="N60" s="639" t="str">
        <v>Sep</v>
      </c>
      <c r="O60" s="639" t="str">
        <v>Oct</v>
      </c>
      <c r="P60" s="639" t="str">
        <v>Nov</v>
      </c>
      <c r="Q60" s="639" t="str">
        <v>Dec</v>
      </c>
      <c r="R60" s="627"/>
      <c r="S60" s="627"/>
      <c r="T60" s="627"/>
      <c r="U60" s="627"/>
      <c r="V60" s="621"/>
      <c r="W60" s="621"/>
    </row>
    <row r="61" spans="3:23" ht="16.2" customHeight="1" x14ac:dyDescent="0.3">
      <c r="C61" s="621"/>
      <c r="D61" s="619"/>
      <c r="E61" s="641" t="s">
        <v>54</v>
      </c>
      <c r="F61" s="633">
        <f>INDEX(DATA!H:H,MATCH(CHARTYEAR&amp;"."&amp;"ECONOMIC IMPACT"&amp;"."&amp;$E61,DATA!$C:$C,0))*INDEX(REP.indexationfactors,(MATCH(CHARTYEAR,REP.yearsrange,0)))/$A$2</f>
        <v>22.07084351345577</v>
      </c>
      <c r="G61" s="633">
        <f>INDEX(DATA!I:I,MATCH(CHARTYEAR&amp;"."&amp;"ECONOMIC IMPACT"&amp;"."&amp;$E61,DATA!$C:$C,0))*INDEX(REP.indexationfactors,(MATCH(CHARTYEAR,REP.yearsrange,0)))/$A$2</f>
        <v>35.25349326309432</v>
      </c>
      <c r="H61" s="633">
        <f>INDEX(DATA!J:J,MATCH(CHARTYEAR&amp;"."&amp;"ECONOMIC IMPACT"&amp;"."&amp;$E61,DATA!$C:$C,0))*INDEX(REP.indexationfactors,(MATCH(CHARTYEAR,REP.yearsrange,0)))/$A$2</f>
        <v>66.624610997233688</v>
      </c>
      <c r="I61" s="633">
        <f>INDEX(DATA!K:K,MATCH(CHARTYEAR&amp;"."&amp;"ECONOMIC IMPACT"&amp;"."&amp;$E61,DATA!$C:$C,0))*INDEX(REP.indexationfactors,(MATCH(CHARTYEAR,REP.yearsrange,0)))/$A$2</f>
        <v>113.35486021020706</v>
      </c>
      <c r="J61" s="633">
        <f>INDEX(DATA!L:L,MATCH(CHARTYEAR&amp;"."&amp;"ECONOMIC IMPACT"&amp;"."&amp;$E61,DATA!$C:$C,0))*INDEX(REP.indexationfactors,(MATCH(CHARTYEAR,REP.yearsrange,0)))/$A$2</f>
        <v>120.36281761729568</v>
      </c>
      <c r="K61" s="633">
        <f>INDEX(DATA!M:M,MATCH(CHARTYEAR&amp;"."&amp;"ECONOMIC IMPACT"&amp;"."&amp;$E61,DATA!$C:$C,0))*INDEX(REP.indexationfactors,(MATCH(CHARTYEAR,REP.yearsrange,0)))/$A$2</f>
        <v>124.17924312954133</v>
      </c>
      <c r="L61" s="633">
        <f>INDEX(DATA!N:N,MATCH(CHARTYEAR&amp;"."&amp;"ECONOMIC IMPACT"&amp;"."&amp;$E61,DATA!$C:$C,0))*INDEX(REP.indexationfactors,(MATCH(CHARTYEAR,REP.yearsrange,0)))/$A$2</f>
        <v>168.12843522534385</v>
      </c>
      <c r="M61" s="633">
        <f>INDEX(DATA!O:O,MATCH(CHARTYEAR&amp;"."&amp;"ECONOMIC IMPACT"&amp;"."&amp;$E61,DATA!$C:$C,0))*INDEX(REP.indexationfactors,(MATCH(CHARTYEAR,REP.yearsrange,0)))/$A$2</f>
        <v>179.40402984765086</v>
      </c>
      <c r="N61" s="633">
        <f>INDEX(DATA!P:P,MATCH(CHARTYEAR&amp;"."&amp;"ECONOMIC IMPACT"&amp;"."&amp;$E61,DATA!$C:$C,0))*INDEX(REP.indexationfactors,(MATCH(CHARTYEAR,REP.yearsrange,0)))/$A$2</f>
        <v>116.87458782432589</v>
      </c>
      <c r="O61" s="633">
        <f>INDEX(DATA!Q:Q,MATCH(CHARTYEAR&amp;"."&amp;"ECONOMIC IMPACT"&amp;"."&amp;$E61,DATA!$C:$C,0))*INDEX(REP.indexationfactors,(MATCH(CHARTYEAR,REP.yearsrange,0)))/$A$2</f>
        <v>82.512750793161572</v>
      </c>
      <c r="P61" s="633">
        <f>INDEX(DATA!R:R,MATCH(CHARTYEAR&amp;"."&amp;"ECONOMIC IMPACT"&amp;"."&amp;$E61,DATA!$C:$C,0))*INDEX(REP.indexationfactors,(MATCH(CHARTYEAR,REP.yearsrange,0)))/$A$2</f>
        <v>43.238326658979169</v>
      </c>
      <c r="Q61" s="633">
        <f>INDEX(DATA!S:S,MATCH(CHARTYEAR&amp;"."&amp;"ECONOMIC IMPACT"&amp;"."&amp;$E61,DATA!$C:$C,0))*INDEX(REP.indexationfactors,(MATCH(CHARTYEAR,REP.yearsrange,0)))/$A$2</f>
        <v>25.750542571062844</v>
      </c>
      <c r="R61" s="634"/>
      <c r="S61" s="629"/>
      <c r="T61" s="629"/>
      <c r="U61" s="629"/>
      <c r="V61" s="621"/>
      <c r="W61" s="621"/>
    </row>
    <row r="62" spans="3:23" ht="16.2" customHeight="1" x14ac:dyDescent="0.3">
      <c r="C62" s="621"/>
      <c r="D62" s="619"/>
      <c r="E62" s="641" t="s">
        <v>54</v>
      </c>
      <c r="F62" s="633">
        <f>INDEX(DATA!H:H,MATCH(CHARTYEAR&amp;"."&amp;"VISITOR NUMBERS"&amp;"."&amp;$E62,DATA!$C:$C,0))/$B$2</f>
        <v>174.37749344325599</v>
      </c>
      <c r="G62" s="633">
        <f>INDEX(DATA!I:I,MATCH(CHARTYEAR&amp;"."&amp;"VISITOR NUMBERS"&amp;"."&amp;$E62,DATA!$C:$C,0))/$B$2</f>
        <v>366.44699733846039</v>
      </c>
      <c r="H62" s="633">
        <f>INDEX(DATA!J:J,MATCH(CHARTYEAR&amp;"."&amp;"VISITOR NUMBERS"&amp;"."&amp;$E62,DATA!$C:$C,0))/$B$2</f>
        <v>489.57177066056983</v>
      </c>
      <c r="I62" s="633">
        <f>INDEX(DATA!K:K,MATCH(CHARTYEAR&amp;"."&amp;"VISITOR NUMBERS"&amp;"."&amp;$E62,DATA!$C:$C,0))/$B$2</f>
        <v>1054.5990725854454</v>
      </c>
      <c r="J62" s="633">
        <f>INDEX(DATA!L:L,MATCH(CHARTYEAR&amp;"."&amp;"VISITOR NUMBERS"&amp;"."&amp;$E62,DATA!$C:$C,0))/$B$2</f>
        <v>1029.0746158130771</v>
      </c>
      <c r="K62" s="633">
        <f>INDEX(DATA!M:M,MATCH(CHARTYEAR&amp;"."&amp;"VISITOR NUMBERS"&amp;"."&amp;$E62,DATA!$C:$C,0))/$B$2</f>
        <v>1100.7683091142476</v>
      </c>
      <c r="L62" s="633">
        <f>INDEX(DATA!N:N,MATCH(CHARTYEAR&amp;"."&amp;"VISITOR NUMBERS"&amp;"."&amp;$E62,DATA!$C:$C,0))/$B$2</f>
        <v>1513.3113444670507</v>
      </c>
      <c r="M62" s="633">
        <f>INDEX(DATA!O:O,MATCH(CHARTYEAR&amp;"."&amp;"VISITOR NUMBERS"&amp;"."&amp;$E62,DATA!$C:$C,0))/$B$2</f>
        <v>1765.5915917743496</v>
      </c>
      <c r="N62" s="633">
        <f>INDEX(DATA!P:P,MATCH(CHARTYEAR&amp;"."&amp;"VISITOR NUMBERS"&amp;"."&amp;$E62,DATA!$C:$C,0))/$B$2</f>
        <v>944.78444517776222</v>
      </c>
      <c r="O62" s="633">
        <f>INDEX(DATA!Q:Q,MATCH(CHARTYEAR&amp;"."&amp;"VISITOR NUMBERS"&amp;"."&amp;$E62,DATA!$C:$C,0))/$B$2</f>
        <v>596.52725105288607</v>
      </c>
      <c r="P62" s="633">
        <f>INDEX(DATA!R:R,MATCH(CHARTYEAR&amp;"."&amp;"VISITOR NUMBERS"&amp;"."&amp;$E62,DATA!$C:$C,0))/$B$2</f>
        <v>291.63105068088851</v>
      </c>
      <c r="Q62" s="633">
        <f>INDEX(DATA!S:S,MATCH(CHARTYEAR&amp;"."&amp;"VISITOR NUMBERS"&amp;"."&amp;$E62,DATA!$C:$C,0))/$B$2</f>
        <v>145.41519093593652</v>
      </c>
      <c r="R62" s="634"/>
      <c r="S62" s="629"/>
      <c r="T62" s="629"/>
      <c r="U62" s="629"/>
      <c r="V62" s="621"/>
      <c r="W62" s="621"/>
    </row>
    <row r="63" spans="3:23" ht="16.2" customHeight="1" x14ac:dyDescent="0.3">
      <c r="C63" s="621"/>
      <c r="D63" s="619"/>
      <c r="E63" s="641" t="s">
        <v>54</v>
      </c>
      <c r="F63" s="633">
        <f>INDEX(DATA!H:H,MATCH(CHARTYEAR&amp;"."&amp;"VISITOR DAYS"&amp;"."&amp;$E63,DATA!$C:$C,0))/$C$2</f>
        <v>299.34085890216164</v>
      </c>
      <c r="G63" s="633">
        <f>INDEX(DATA!I:I,MATCH(CHARTYEAR&amp;"."&amp;"VISITOR DAYS"&amp;"."&amp;$E63,DATA!$C:$C,0))/$C$2</f>
        <v>494.74201849742963</v>
      </c>
      <c r="H63" s="633">
        <f>INDEX(DATA!J:J,MATCH(CHARTYEAR&amp;"."&amp;"VISITOR DAYS"&amp;"."&amp;$E63,DATA!$C:$C,0))/$C$2</f>
        <v>1113.8375255217397</v>
      </c>
      <c r="I63" s="633">
        <f>INDEX(DATA!K:K,MATCH(CHARTYEAR&amp;"."&amp;"VISITOR DAYS"&amp;"."&amp;$E63,DATA!$C:$C,0))/$C$2</f>
        <v>1961.7637633248764</v>
      </c>
      <c r="J63" s="633">
        <f>INDEX(DATA!L:L,MATCH(CHARTYEAR&amp;"."&amp;"VISITOR DAYS"&amp;"."&amp;$E63,DATA!$C:$C,0))/$C$2</f>
        <v>2024.3829490118219</v>
      </c>
      <c r="K63" s="633">
        <f>INDEX(DATA!M:M,MATCH(CHARTYEAR&amp;"."&amp;"VISITOR DAYS"&amp;"."&amp;$E63,DATA!$C:$C,0))/$C$2</f>
        <v>2117.0461485303717</v>
      </c>
      <c r="L63" s="633">
        <f>INDEX(DATA!N:N,MATCH(CHARTYEAR&amp;"."&amp;"VISITOR DAYS"&amp;"."&amp;$E63,DATA!$C:$C,0))/$C$2</f>
        <v>2761.1389903594581</v>
      </c>
      <c r="M63" s="633">
        <f>INDEX(DATA!O:O,MATCH(CHARTYEAR&amp;"."&amp;"VISITOR DAYS"&amp;"."&amp;$E63,DATA!$C:$C,0))/$C$2</f>
        <v>2989.2718527628272</v>
      </c>
      <c r="N63" s="633">
        <f>INDEX(DATA!P:P,MATCH(CHARTYEAR&amp;"."&amp;"VISITOR DAYS"&amp;"."&amp;$E63,DATA!$C:$C,0))/$C$2</f>
        <v>1839.095786518031</v>
      </c>
      <c r="O63" s="633">
        <f>INDEX(DATA!Q:Q,MATCH(CHARTYEAR&amp;"."&amp;"VISITOR DAYS"&amp;"."&amp;$E63,DATA!$C:$C,0))/$C$2</f>
        <v>1430.2379608410251</v>
      </c>
      <c r="P63" s="633">
        <f>INDEX(DATA!R:R,MATCH(CHARTYEAR&amp;"."&amp;"VISITOR DAYS"&amp;"."&amp;$E63,DATA!$C:$C,0))/$C$2</f>
        <v>621.50914291616152</v>
      </c>
      <c r="Q63" s="633">
        <f>INDEX(DATA!S:S,MATCH(CHARTYEAR&amp;"."&amp;"VISITOR DAYS"&amp;"."&amp;$E63,DATA!$C:$C,0))/$C$2</f>
        <v>305.55056559562325</v>
      </c>
      <c r="R63" s="634"/>
      <c r="S63" s="629"/>
      <c r="T63" s="629"/>
      <c r="U63" s="629"/>
      <c r="V63" s="621"/>
      <c r="W63" s="621"/>
    </row>
    <row r="64" spans="3:23" ht="16.2" customHeight="1" x14ac:dyDescent="0.3">
      <c r="C64" s="621"/>
      <c r="D64" s="619"/>
      <c r="E64" s="641" t="s">
        <v>54</v>
      </c>
      <c r="F64" s="631">
        <f>INDEX(DATA!H:H,MATCH(CHARTYEAR&amp;"."&amp;"EMPLOYMENT"&amp;"."&amp;$E64,DATA!$C:$C,0))</f>
        <v>4531.2165052455894</v>
      </c>
      <c r="G64" s="631">
        <f>INDEX(DATA!I:I,MATCH(CHARTYEAR&amp;"."&amp;"EMPLOYMENT"&amp;"."&amp;$E64,DATA!$C:$C,0))</f>
        <v>6005.7276416000323</v>
      </c>
      <c r="H64" s="631">
        <f>INDEX(DATA!J:J,MATCH(CHARTYEAR&amp;"."&amp;"EMPLOYMENT"&amp;"."&amp;$E64,DATA!$C:$C,0))</f>
        <v>9637.4493920442783</v>
      </c>
      <c r="I64" s="631">
        <f>INDEX(DATA!K:K,MATCH(CHARTYEAR&amp;"."&amp;"EMPLOYMENT"&amp;"."&amp;$E64,DATA!$C:$C,0))</f>
        <v>14635.068578189765</v>
      </c>
      <c r="J64" s="631">
        <f>INDEX(DATA!L:L,MATCH(CHARTYEAR&amp;"."&amp;"EMPLOYMENT"&amp;"."&amp;$E64,DATA!$C:$C,0))</f>
        <v>15059.923723876869</v>
      </c>
      <c r="K64" s="631">
        <f>INDEX(DATA!M:M,MATCH(CHARTYEAR&amp;"."&amp;"EMPLOYMENT"&amp;"."&amp;$E64,DATA!$C:$C,0))</f>
        <v>15564.773104806813</v>
      </c>
      <c r="L64" s="631">
        <f>INDEX(DATA!N:N,MATCH(CHARTYEAR&amp;"."&amp;"EMPLOYMENT"&amp;"."&amp;$E64,DATA!$C:$C,0))</f>
        <v>19673.222800903884</v>
      </c>
      <c r="M64" s="631">
        <f>INDEX(DATA!O:O,MATCH(CHARTYEAR&amp;"."&amp;"EMPLOYMENT"&amp;"."&amp;$E64,DATA!$C:$C,0))</f>
        <v>20852.137927565578</v>
      </c>
      <c r="N64" s="631">
        <f>INDEX(DATA!P:P,MATCH(CHARTYEAR&amp;"."&amp;"EMPLOYMENT"&amp;"."&amp;$E64,DATA!$C:$C,0))</f>
        <v>14027.21876718515</v>
      </c>
      <c r="O64" s="631">
        <f>INDEX(DATA!Q:Q,MATCH(CHARTYEAR&amp;"."&amp;"EMPLOYMENT"&amp;"."&amp;$E64,DATA!$C:$C,0))</f>
        <v>11210.458592659881</v>
      </c>
      <c r="P64" s="631">
        <f>INDEX(DATA!R:R,MATCH(CHARTYEAR&amp;"."&amp;"EMPLOYMENT"&amp;"."&amp;$E64,DATA!$C:$C,0))</f>
        <v>6587.652135389827</v>
      </c>
      <c r="Q64" s="631">
        <f>INDEX(DATA!S:S,MATCH(CHARTYEAR&amp;"."&amp;"EMPLOYMENT"&amp;"."&amp;$E64,DATA!$C:$C,0))</f>
        <v>4671.4377134333927</v>
      </c>
      <c r="R64" s="625"/>
      <c r="S64" s="629"/>
      <c r="T64" s="629"/>
      <c r="U64" s="629"/>
      <c r="V64" s="621"/>
      <c r="W64" s="621"/>
    </row>
    <row r="65" spans="3:23" ht="16.2" customHeight="1" x14ac:dyDescent="0.3">
      <c r="C65" s="621"/>
      <c r="D65" s="619"/>
      <c r="E65" s="621"/>
      <c r="F65" s="621"/>
      <c r="G65" s="621"/>
      <c r="H65" s="621"/>
      <c r="I65" s="621"/>
      <c r="J65" s="621"/>
      <c r="K65" s="621"/>
      <c r="L65" s="621"/>
      <c r="M65" s="621"/>
      <c r="N65" s="621"/>
      <c r="O65" s="621"/>
      <c r="P65" s="621"/>
      <c r="Q65" s="621"/>
      <c r="R65" s="621"/>
      <c r="S65" s="621"/>
      <c r="T65" s="621"/>
      <c r="U65" s="621"/>
      <c r="V65" s="621"/>
      <c r="W65" s="621"/>
    </row>
    <row r="66" spans="3:23" ht="16.2" customHeight="1" x14ac:dyDescent="0.3">
      <c r="C66" s="621"/>
      <c r="D66" s="619"/>
      <c r="E66" s="621"/>
      <c r="F66" s="621"/>
      <c r="G66" s="621"/>
      <c r="H66" s="621"/>
      <c r="I66" s="621"/>
      <c r="J66" s="621"/>
      <c r="K66" s="621"/>
      <c r="L66" s="621"/>
      <c r="M66" s="621"/>
      <c r="N66" s="621"/>
      <c r="O66" s="621"/>
      <c r="P66" s="621"/>
      <c r="Q66" s="621"/>
      <c r="R66" s="621"/>
      <c r="S66" s="621"/>
      <c r="T66" s="621"/>
      <c r="U66" s="621"/>
      <c r="V66" s="621"/>
      <c r="W66" s="621"/>
    </row>
    <row r="67" spans="3:23" ht="16.2" customHeight="1" x14ac:dyDescent="0.3">
      <c r="C67" s="621"/>
      <c r="D67" s="619"/>
      <c r="E67" s="621"/>
      <c r="F67" s="621"/>
      <c r="G67" s="621"/>
      <c r="H67" s="621"/>
      <c r="I67" s="621"/>
      <c r="J67" s="621"/>
      <c r="K67" s="621"/>
      <c r="L67" s="621"/>
      <c r="M67" s="621"/>
      <c r="N67" s="621"/>
      <c r="O67" s="621"/>
      <c r="P67" s="621"/>
      <c r="Q67" s="621"/>
      <c r="R67" s="621"/>
      <c r="S67" s="621"/>
      <c r="T67" s="621"/>
      <c r="U67" s="621"/>
      <c r="V67" s="621"/>
      <c r="W67" s="621"/>
    </row>
    <row r="68" spans="3:23" ht="16.2" customHeight="1" x14ac:dyDescent="0.3">
      <c r="C68" s="621"/>
      <c r="D68" s="619"/>
      <c r="E68" s="621"/>
      <c r="F68" s="621"/>
      <c r="G68" s="621"/>
      <c r="H68" s="621"/>
      <c r="I68" s="621"/>
      <c r="J68" s="621"/>
      <c r="K68" s="621"/>
      <c r="L68" s="621"/>
      <c r="M68" s="621"/>
      <c r="N68" s="621"/>
      <c r="O68" s="621"/>
      <c r="P68" s="621"/>
      <c r="Q68" s="621"/>
      <c r="R68" s="621"/>
      <c r="S68" s="621"/>
      <c r="T68" s="621"/>
      <c r="U68" s="621"/>
      <c r="V68" s="621"/>
      <c r="W68" s="621"/>
    </row>
    <row r="69" spans="3:23" ht="16.2" customHeight="1" x14ac:dyDescent="0.3">
      <c r="C69" s="621"/>
      <c r="D69" s="619"/>
      <c r="E69" s="621"/>
      <c r="F69" s="621"/>
      <c r="G69" s="621"/>
      <c r="H69" s="621"/>
      <c r="I69" s="621"/>
      <c r="J69" s="621"/>
      <c r="K69" s="621"/>
      <c r="L69" s="621"/>
      <c r="M69" s="621"/>
      <c r="N69" s="621"/>
      <c r="O69" s="621"/>
      <c r="P69" s="621"/>
      <c r="Q69" s="621"/>
      <c r="R69" s="621"/>
      <c r="S69" s="621"/>
      <c r="T69" s="621"/>
      <c r="U69" s="621"/>
      <c r="V69" s="621"/>
      <c r="W69" s="621"/>
    </row>
    <row r="70" spans="3:23" ht="16.2" customHeight="1" x14ac:dyDescent="0.3">
      <c r="C70" s="621"/>
      <c r="D70" s="619"/>
      <c r="E70" s="621"/>
      <c r="F70" s="621"/>
      <c r="G70" s="621" t="s">
        <v>43</v>
      </c>
      <c r="H70" s="621" t="s">
        <v>43</v>
      </c>
      <c r="I70" s="621"/>
      <c r="J70" s="621" t="s">
        <v>48</v>
      </c>
      <c r="K70" s="621" t="s">
        <v>48</v>
      </c>
      <c r="L70" s="621"/>
      <c r="M70" s="621" t="s">
        <v>18</v>
      </c>
      <c r="N70" s="621" t="s">
        <v>18</v>
      </c>
      <c r="O70" s="621"/>
      <c r="P70" s="621" t="s">
        <v>95</v>
      </c>
      <c r="Q70" s="621"/>
      <c r="R70" s="621"/>
      <c r="S70" s="621" t="s">
        <v>71</v>
      </c>
      <c r="T70" s="621" t="s">
        <v>71</v>
      </c>
      <c r="U70" s="621"/>
      <c r="V70" s="621" t="s">
        <v>54</v>
      </c>
      <c r="W70" s="621" t="s">
        <v>54</v>
      </c>
    </row>
    <row r="71" spans="3:23" ht="16.2" customHeight="1" x14ac:dyDescent="0.3">
      <c r="C71" s="621"/>
      <c r="D71" s="619"/>
      <c r="E71" s="621"/>
      <c r="F71" s="621"/>
      <c r="G71" s="621"/>
      <c r="H71" s="621"/>
      <c r="I71" s="621"/>
      <c r="J71" s="621"/>
      <c r="K71" s="621"/>
      <c r="L71" s="621"/>
      <c r="M71" s="621"/>
      <c r="N71" s="621"/>
      <c r="O71" s="621"/>
      <c r="P71" s="621"/>
      <c r="Q71" s="621"/>
      <c r="R71" s="621"/>
      <c r="S71" s="621"/>
      <c r="T71" s="621"/>
      <c r="U71" s="621"/>
      <c r="V71" s="621"/>
      <c r="W71" s="621"/>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49" priority="3">
      <formula>AVERAGE($F61:$Q61)&gt;2500</formula>
    </cfRule>
  </conditionalFormatting>
  <conditionalFormatting sqref="AA29">
    <cfRule type="expression" dxfId="148" priority="2">
      <formula>AA29&gt;2500</formula>
    </cfRule>
  </conditionalFormatting>
  <conditionalFormatting sqref="AB29:AB31">
    <cfRule type="expression" dxfId="147"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8671875" defaultRowHeight="16.2" customHeight="1" x14ac:dyDescent="0.3"/>
  <cols>
    <col min="1" max="1" width="7.88671875" style="39" bestFit="1" customWidth="1"/>
    <col min="2" max="3" width="4.88671875" style="39"/>
    <col min="4" max="4" width="4.88671875" style="40"/>
    <col min="5" max="5" width="19.5546875" style="39" customWidth="1"/>
    <col min="6" max="6" width="5.109375" style="39" customWidth="1"/>
    <col min="7" max="24" width="7.33203125" style="39" customWidth="1"/>
    <col min="25" max="25" width="7.109375" style="39" bestFit="1" customWidth="1"/>
    <col min="26" max="26" width="8.44140625" style="39" bestFit="1" customWidth="1"/>
    <col min="27" max="16384" width="4.88671875" style="39"/>
  </cols>
  <sheetData>
    <row r="1" spans="1:25" ht="16.2" hidden="1" customHeight="1" thickTop="1" thickBot="1" x14ac:dyDescent="0.35">
      <c r="A1" s="37" t="str">
        <f ca="1">MID(CELL("filename",A1),FIND("]",CELL("filename",A1))+1,255)</f>
        <v>ECONOMIC IMPACT</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623173.28519386449</v>
      </c>
      <c r="B3" s="618">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VLOOKUP(FOCUSYEAR&amp;".ECONOMIC IMPACT.TOTAL",REP.data,18,FALSE)</f>
        <v>1097754.5416513521</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A6" s="618"/>
      <c r="B6" s="618"/>
      <c r="C6" s="618"/>
      <c r="D6" s="619"/>
      <c r="E6" s="369" t="str">
        <f>REP.title1</f>
        <v>STEAM FINAL TREND REPORT FOR 2011-2022</v>
      </c>
      <c r="F6" s="390"/>
      <c r="G6" s="390"/>
      <c r="H6" s="390"/>
      <c r="I6" s="390"/>
      <c r="J6" s="390"/>
      <c r="K6" s="390"/>
      <c r="L6" s="390"/>
      <c r="M6" s="390"/>
      <c r="N6" s="390"/>
      <c r="O6" s="391"/>
      <c r="P6" s="1015" t="str">
        <f>MIN(REP.yearsrange)&amp;" to "&amp;MAX(REP.yearsrange)</f>
        <v>2011 to 2022</v>
      </c>
      <c r="Q6" s="1016"/>
      <c r="R6" s="1017"/>
      <c r="S6" s="929" t="str">
        <f>UPPER(TYPE.userselected)</f>
        <v>TOTAL</v>
      </c>
      <c r="T6" s="930"/>
      <c r="U6" s="806" t="str">
        <f>IF(REP.indexed="YES","ECONOMIC IMPACT"&amp;CHAR(10)&amp;"Indexed","ECONOMIC IMPACT"&amp;CHAR(10)&amp;"Historic Prices")</f>
        <v>ECONOMIC IMPACT
Indexed</v>
      </c>
      <c r="V6" s="807"/>
      <c r="W6" s="807"/>
      <c r="X6" s="808"/>
    </row>
    <row r="7" spans="1:25" ht="16.2" customHeight="1" thickBot="1" x14ac:dyDescent="0.35">
      <c r="A7" s="618"/>
      <c r="B7" s="618"/>
      <c r="C7" s="618"/>
      <c r="D7" s="619"/>
      <c r="E7" s="370" t="str">
        <f>REP.title2</f>
        <v>CONWY COUNTY BOROUGH COUNCIL</v>
      </c>
      <c r="F7" s="371"/>
      <c r="G7" s="371"/>
      <c r="H7" s="371"/>
      <c r="I7" s="372"/>
      <c r="J7" s="372"/>
      <c r="K7" s="372"/>
      <c r="L7" s="372"/>
      <c r="M7" s="372"/>
      <c r="N7" s="372"/>
      <c r="O7" s="392"/>
      <c r="P7" s="1012" t="str">
        <f>IF(REP.indexed="YES",MAX(REP.yearsrange)&amp;" Prices","Historic Prices")</f>
        <v>2022 Prices</v>
      </c>
      <c r="Q7" s="1013"/>
      <c r="R7" s="1014"/>
      <c r="S7" s="931"/>
      <c r="T7" s="932"/>
      <c r="U7" s="809"/>
      <c r="V7" s="810"/>
      <c r="W7" s="810"/>
      <c r="X7" s="811"/>
    </row>
    <row r="8" spans="1:25" ht="16.2" customHeight="1" thickTop="1" thickBot="1" x14ac:dyDescent="0.35">
      <c r="D8" s="112"/>
      <c r="E8" s="867" t="str">
        <f ca="1">$A$1&amp;" BY:"</f>
        <v>ECONOMIC IMPACT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$A$1&amp;" "&amp;$F$16&amp;" "&amp;IF(REP.indexed="YES"," - INDEXED TO "&amp;MAX(REP.yearsrange)," - IN HISTORIC PRICES")&amp;" / PERCENTAGE CHANGES"</f>
        <v>ECONOMIC IMPACT £M  - INDEXED TO 2022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0.42067459302889709</v>
      </c>
      <c r="H13" s="135">
        <f ca="1">IFERROR(INDEX(H$16:H$27,MATCH(MAX(REP.yearsrange),$E$16:$E$27,0))/INDEX(H$16:H$27,MATCH(MIN(REP.yearsrange),$E$16:$E$27,0))-1,"")</f>
        <v>0.11444147733837551</v>
      </c>
      <c r="I13" s="135">
        <f ca="1">IFERROR(INDEX(I$16:I$27,MATCH(MAX(REP.yearsrange),$E$16:$E$27,0))/INDEX(I$16:I$27,MATCH(MIN(REP.yearsrange),$E$16:$E$27,0))-1,"")</f>
        <v>0.35190124964009284</v>
      </c>
      <c r="J13" s="135">
        <f ca="1">IFERROR(INDEX(J$16:J$27,MATCH(MAX(REP.yearsrange),$E$16:$E$27,0))/INDEX(J$16:J$27,MATCH(MIN(REP.yearsrange),$E$16:$E$27,0))-1,"")</f>
        <v>0.18419922176520287</v>
      </c>
      <c r="K13" s="135">
        <f ca="1">IFERROR(INDEX(K$16:K$27,MATCH(MAX(REP.yearsrange),$E$16:$E$27,0))/INDEX(K$16:K$27,MATCH(MIN(REP.yearsrange),$E$16:$E$27,0))-1,"")</f>
        <v>0.30191627492587347</v>
      </c>
      <c r="L13" s="135">
        <f ca="1">IFERROR(INDEX(L$16:L$27,MATCH(MAX(REP.yearsrange),$E$16:$E$27,0))/INDEX(L$16:L$27,MATCH(MIN(REP.yearsrange),$E$16:$E$27,0))-1,"")</f>
        <v>0.32058466977905731</v>
      </c>
      <c r="M13" s="135">
        <f ca="1">IFERROR(INDEX(M$16:M$27,MATCH(MAX(REP.yearsrange),$E$16:$E$27,0))/INDEX(M$16:M$27,MATCH(MIN(REP.yearsrange),$E$16:$E$27,0))-1,"")</f>
        <v>0.37982805588741519</v>
      </c>
      <c r="N13" s="135">
        <f ca="1">IFERROR(INDEX(N$16:N$27,MATCH(MAX(REP.yearsrange),$E$16:$E$27,0))/INDEX(N$16:N$27,MATCH(MIN(REP.yearsrange),$E$16:$E$27,0))-1,"")</f>
        <v>0.23149713230586011</v>
      </c>
      <c r="O13" s="135">
        <f ca="1">IFERROR(INDEX(O$16:O$27,MATCH(MAX(REP.yearsrange),$E$16:$E$27,0))/INDEX(O$16:O$27,MATCH(MIN(REP.yearsrange),$E$16:$E$27,0))-1,"")</f>
        <v>0.18548729390809293</v>
      </c>
      <c r="P13" s="135">
        <f ca="1">IFERROR(INDEX(P$16:P$27,MATCH(MAX(REP.yearsrange),$E$16:$E$27,0))/INDEX(P$16:P$27,MATCH(MIN(REP.yearsrange),$E$16:$E$27,0))-1,"")</f>
        <v>0.13496003098731579</v>
      </c>
      <c r="Q13" s="135">
        <f ca="1">IFERROR(INDEX(Q$16:Q$27,MATCH(MAX(REP.yearsrange),$E$16:$E$27,0))/INDEX(Q$16:Q$27,MATCH(MIN(REP.yearsrange),$E$16:$E$27,0))-1,"")</f>
        <v>0.56120250264442273</v>
      </c>
      <c r="R13" s="135">
        <f ca="1">IFERROR(INDEX(R$16:R$27,MATCH(MAX(REP.yearsrange),$E$16:$E$27,0))/INDEX(R$16:R$27,MATCH(MIN(REP.yearsrange),$E$16:$E$27,0))-1,"")</f>
        <v>0.32510642073849394</v>
      </c>
      <c r="S13" s="135">
        <f ca="1">IFERROR(INDEX(S$16:S$27,MATCH(MAX(REP.yearsrange),$E$16:$E$27,0))/INDEX(S$16:S$27,MATCH(MIN(REP.yearsrange),$E$16:$E$27,0))-1,"")</f>
        <v>0.26966466590259519</v>
      </c>
      <c r="T13" s="997" t="str">
        <f>"Annual"&amp;CHAR(10)&amp;"Change"</f>
        <v>Annual
Change</v>
      </c>
      <c r="U13" s="135">
        <f ca="1">IFERROR(INDEX(U$16:U$27,MATCH(MAX(REP.yearsrange),$E$16:$E$27,0))/INDEX(U$16:U$27,MATCH(MIN(REP.yearsrange),$E$16:$E$27,0))-1,"")</f>
        <v>0.28509820929211993</v>
      </c>
      <c r="V13" s="135">
        <f ca="1">IFERROR(INDEX(V$16:V$27,MATCH(MAX(REP.yearsrange),$E$16:$E$27,0))/INDEX(V$16:V$27,MATCH(MIN(REP.yearsrange),$E$16:$E$27,0))-1,"")</f>
        <v>0.26820784153716049</v>
      </c>
      <c r="W13" s="135">
        <f ca="1">IFERROR(INDEX(W$16:W$27,MATCH(MAX(REP.yearsrange),$E$16:$E$27,0))/INDEX(W$16:W$27,MATCH(MIN(REP.yearsrange),$E$16:$E$27,0))-1,"")</f>
        <v>0.26847385569747972</v>
      </c>
      <c r="X13" s="135">
        <f ca="1">IFERROR(INDEX(X$16:X$27,MATCH(MAX(REP.yearsrange),$E$16:$E$27,0))/INDEX(X$16:X$27,MATCH(MIN(REP.yearsrange),$E$16:$E$27,0))-1,"")</f>
        <v>0.26431137888158518</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6.1907492190386151</v>
      </c>
      <c r="J14" s="135">
        <f ca="1">IFERROR(INDEX(J$16:J$27,MATCH(MAX(REP.yearsrange),$E$16:$E$27,0))/INDEX(J$16:J$27,MATCH(INDEX(REP.yearsrange,COUNT(REP.yearsrange)-1),$E$16:$E$27,0))-1,"")</f>
        <v>2.6548151399306974</v>
      </c>
      <c r="K14" s="135">
        <f ca="1">IFERROR(INDEX(K$16:K$27,MATCH(MAX(REP.yearsrange),$E$16:$E$27,0))/INDEX(K$16:K$27,MATCH(INDEX(REP.yearsrange,COUNT(REP.yearsrange)-1),$E$16:$E$27,0))-1,"")</f>
        <v>2.3009086151679381</v>
      </c>
      <c r="L14" s="135">
        <f ca="1">IFERROR(INDEX(L$16:L$27,MATCH(MAX(REP.yearsrange),$E$16:$E$27,0))/INDEX(L$16:L$27,MATCH(INDEX(REP.yearsrange,COUNT(REP.yearsrange)-1),$E$16:$E$27,0))-1,"")</f>
        <v>0.29536375870569498</v>
      </c>
      <c r="M14" s="135">
        <f ca="1">IFERROR(INDEX(M$16:M$27,MATCH(MAX(REP.yearsrange),$E$16:$E$27,0))/INDEX(M$16:M$27,MATCH(INDEX(REP.yearsrange,COUNT(REP.yearsrange)-1),$E$16:$E$27,0))-1,"")</f>
        <v>9.7992911962561768E-2</v>
      </c>
      <c r="N14" s="135">
        <f ca="1">IFERROR(INDEX(N$16:N$27,MATCH(MAX(REP.yearsrange),$E$16:$E$27,0))/INDEX(N$16:N$27,MATCH(INDEX(REP.yearsrange,COUNT(REP.yearsrange)-1),$E$16:$E$27,0))-1,"")</f>
        <v>-5.3830395093830918E-2</v>
      </c>
      <c r="O14" s="135">
        <f ca="1">IFERROR(INDEX(O$16:O$27,MATCH(MAX(REP.yearsrange),$E$16:$E$27,0))/INDEX(O$16:O$27,MATCH(INDEX(REP.yearsrange,COUNT(REP.yearsrange)-1),$E$16:$E$27,0))-1,"")</f>
        <v>-8.8239925749280745E-2</v>
      </c>
      <c r="P14" s="135">
        <f ca="1">IFERROR(INDEX(P$16:P$27,MATCH(MAX(REP.yearsrange),$E$16:$E$27,0))/INDEX(P$16:P$27,MATCH(INDEX(REP.yearsrange,COUNT(REP.yearsrange)-1),$E$16:$E$27,0))-1,"")</f>
        <v>-0.10482984881889035</v>
      </c>
      <c r="Q14" s="135">
        <f ca="1">IFERROR(INDEX(Q$16:Q$27,MATCH(MAX(REP.yearsrange),$E$16:$E$27,0))/INDEX(Q$16:Q$27,MATCH(INDEX(REP.yearsrange,COUNT(REP.yearsrange)-1),$E$16:$E$27,0))-1,"")</f>
        <v>0.15721517906232685</v>
      </c>
      <c r="R14" s="135">
        <f ca="1">IFERROR(INDEX(R$16:R$27,MATCH(MAX(REP.yearsrange),$E$16:$E$27,0))/INDEX(R$16:R$27,MATCH(INDEX(REP.yearsrange,COUNT(REP.yearsrange)-1),$E$16:$E$27,0))-1,"")</f>
        <v>5.3375862975119093E-2</v>
      </c>
      <c r="S14" s="135">
        <f ca="1">IFERROR(INDEX(S$16:S$27,MATCH(MAX(REP.yearsrange),$E$16:$E$27,0))/INDEX(S$16:S$27,MATCH(INDEX(REP.yearsrange,COUNT(REP.yearsrange)-1),$E$16:$E$27,0))-1,"")</f>
        <v>0.37647096792292833</v>
      </c>
      <c r="T14" s="997"/>
      <c r="U14" s="135">
        <f ca="1">IFERROR(INDEX(U$16:U$27,MATCH(MAX(REP.yearsrange),$E$16:$E$27,0))/INDEX(U$16:U$27,MATCH(INDEX(REP.yearsrange,COUNT(REP.yearsrange)-1),$E$16:$E$27,0))-1,"")</f>
        <v>12.37772612949291</v>
      </c>
      <c r="V14" s="135">
        <f ca="1">IFERROR(INDEX(V$16:V$27,MATCH(MAX(REP.yearsrange),$E$16:$E$27,0))/INDEX(V$16:V$27,MATCH(INDEX(REP.yearsrange,COUNT(REP.yearsrange)-1),$E$16:$E$27,0))-1,"")</f>
        <v>1.1910742020730227</v>
      </c>
      <c r="W14" s="135">
        <f ca="1">IFERROR(INDEX(W$16:W$27,MATCH(MAX(REP.yearsrange),$E$16:$E$27,0))/INDEX(W$16:W$27,MATCH(INDEX(REP.yearsrange,COUNT(REP.yearsrange)-1),$E$16:$E$27,0))-1,"")</f>
        <v>-1.3830189181440633E-2</v>
      </c>
      <c r="X14" s="135">
        <f ca="1">IFERROR(INDEX(X$16:X$27,MATCH(MAX(REP.yearsrange),$E$16:$E$27,0))/INDEX(X$16:X$27,MATCH(INDEX(REP.yearsrange,COUNT(REP.yearsrange)-1),$E$16:$E$27,0))-1,"")</f>
        <v>-1.6129615041762468E-2</v>
      </c>
    </row>
    <row r="15" spans="1:25" ht="16.2" customHeight="1" thickTop="1" thickBot="1" x14ac:dyDescent="0.35">
      <c r="D15" s="112"/>
      <c r="E15" s="996" t="s">
        <v>116</v>
      </c>
      <c r="F15" s="996"/>
      <c r="G15" s="135">
        <f ca="1">IFERROR(G13/(MAX(REP.yearsrange)-MIN(REP.yearsrange)),"")</f>
        <v>3.8243144820808823E-2</v>
      </c>
      <c r="H15" s="135">
        <f ca="1">IFERROR(H13/(MAX(REP.yearsrange)-MIN(REP.yearsrange)),"")</f>
        <v>1.0403770667125046E-2</v>
      </c>
      <c r="I15" s="135">
        <f ca="1">IFERROR(I13/(MAX(REP.yearsrange)-MIN(REP.yearsrange)),"")</f>
        <v>3.1991022694553894E-2</v>
      </c>
      <c r="J15" s="135">
        <f ca="1">IFERROR(J13/(MAX(REP.yearsrange)-MIN(REP.yearsrange)),"")</f>
        <v>1.6745383796836624E-2</v>
      </c>
      <c r="K15" s="135">
        <f ca="1">IFERROR(K13/(MAX(REP.yearsrange)-MIN(REP.yearsrange)),"")</f>
        <v>2.7446934084170316E-2</v>
      </c>
      <c r="L15" s="135">
        <f ca="1">IFERROR(L13/(MAX(REP.yearsrange)-MIN(REP.yearsrange)),"")</f>
        <v>2.9144060889005209E-2</v>
      </c>
      <c r="M15" s="135">
        <f ca="1">IFERROR(M13/(MAX(REP.yearsrange)-MIN(REP.yearsrange)),"")</f>
        <v>3.4529823262492293E-2</v>
      </c>
      <c r="N15" s="135">
        <f ca="1">IFERROR(N13/(MAX(REP.yearsrange)-MIN(REP.yearsrange)),"")</f>
        <v>2.1045193845987284E-2</v>
      </c>
      <c r="O15" s="135">
        <f ca="1">IFERROR(O13/(MAX(REP.yearsrange)-MIN(REP.yearsrange)),"")</f>
        <v>1.6862481264372085E-2</v>
      </c>
      <c r="P15" s="135">
        <f ca="1">IFERROR(P13/(MAX(REP.yearsrange)-MIN(REP.yearsrange)),"")</f>
        <v>1.2269093726119618E-2</v>
      </c>
      <c r="Q15" s="135">
        <f ca="1">IFERROR(Q13/(MAX(REP.yearsrange)-MIN(REP.yearsrange)),"")</f>
        <v>5.101840933131116E-2</v>
      </c>
      <c r="R15" s="135">
        <f ca="1">IFERROR(R13/(MAX(REP.yearsrange)-MIN(REP.yearsrange)),"")</f>
        <v>2.9555129158044903E-2</v>
      </c>
      <c r="S15" s="135">
        <f ca="1">IFERROR(S13/(MAX(REP.yearsrange)-MIN(REP.yearsrange)),"")</f>
        <v>2.4514969627508654E-2</v>
      </c>
      <c r="T15" s="997"/>
      <c r="U15" s="135">
        <f ca="1">IFERROR(U13/(MAX(REP.yearsrange)-MIN(REP.yearsrange)),"")</f>
        <v>2.5918019026556358E-2</v>
      </c>
      <c r="V15" s="135">
        <f ca="1">IFERROR(V13/(MAX(REP.yearsrange)-MIN(REP.yearsrange)),"")</f>
        <v>2.438253104883277E-2</v>
      </c>
      <c r="W15" s="135">
        <f ca="1">IFERROR(W13/(MAX(REP.yearsrange)-MIN(REP.yearsrange)),"")</f>
        <v>2.4406714154316337E-2</v>
      </c>
      <c r="X15" s="135">
        <f ca="1">IFERROR(X13/(MAX(REP.yearsrange)-MIN(REP.yearsrange)),"")</f>
        <v>2.4028307171053198E-2</v>
      </c>
    </row>
    <row r="16" spans="1:25" ht="16.2" customHeight="1" thickTop="1" thickBot="1" x14ac:dyDescent="0.35">
      <c r="D16" s="112"/>
      <c r="E16" s="193">
        <f t="array" ref="E16:E27">INDEX(REP.yearsrange,REP.yearnos)</f>
        <v>2011</v>
      </c>
      <c r="F16" s="194" t="str">
        <f ca="1">IF($A$2=1,"£000s",IF(A2=1000,"£M","£Bn"))</f>
        <v>£M</v>
      </c>
      <c r="G16" s="589">
        <f t="array" aca="1" ref="G16:G27" ca="1">EI.MONTHLYDATA</f>
        <v>15.53546717999682</v>
      </c>
      <c r="H16" s="589">
        <f t="array" aca="1" ref="H16:H27" ca="1">EI.MONTHLYDATA</f>
        <v>31.633328425006546</v>
      </c>
      <c r="I16" s="589">
        <f t="array" aca="1" ref="I16:I27" ca="1">EI.MONTHLYDATA</f>
        <v>49.282158008930523</v>
      </c>
      <c r="J16" s="590">
        <f t="array" aca="1" ref="J16:J27" ca="1">EI.MONTHLYDATA</f>
        <v>95.722795731310228</v>
      </c>
      <c r="K16" s="590">
        <f t="array" aca="1" ref="K16:K27" ca="1">EI.MONTHLYDATA</f>
        <v>92.450505409150608</v>
      </c>
      <c r="L16" s="590">
        <f t="array" aca="1" ref="L16:L27" ca="1">EI.MONTHLYDATA</f>
        <v>94.033533760707186</v>
      </c>
      <c r="M16" s="591">
        <f t="array" aca="1" ref="M16:M27" ca="1">EI.MONTHLYDATA</f>
        <v>121.84738127912223</v>
      </c>
      <c r="N16" s="591">
        <f t="array" aca="1" ref="N16:N27" ca="1">EI.MONTHLYDATA</f>
        <v>145.6796164126944</v>
      </c>
      <c r="O16" s="591">
        <f t="array" aca="1" ref="O16:O27" ca="1">EI.MONTHLYDATA</f>
        <v>98.587803028268311</v>
      </c>
      <c r="P16" s="592">
        <f t="array" aca="1" ref="P16:P27" ca="1">EI.MONTHLYDATA</f>
        <v>72.70101901419622</v>
      </c>
      <c r="Q16" s="592">
        <f t="array" aca="1" ref="Q16:Q27" ca="1">EI.MONTHLYDATA</f>
        <v>27.695527380810937</v>
      </c>
      <c r="R16" s="592">
        <f t="array" aca="1" ref="R16:R27" ca="1">EI.MONTHLYDATA</f>
        <v>19.432810956203678</v>
      </c>
      <c r="S16" s="593">
        <f t="array" aca="1" ref="S16:S27" ca="1">EI.MONTHLYDATA</f>
        <v>864.60194658639773</v>
      </c>
      <c r="T16" s="997"/>
      <c r="U16" s="589">
        <f ca="1">IF(SUM(G16:I16)=0,"",SUM(G16:I16))</f>
        <v>96.450953613933891</v>
      </c>
      <c r="V16" s="590">
        <f ca="1">IF(SUM(J16:L16)=0,"",SUM(J16:L16))</f>
        <v>282.20683490116801</v>
      </c>
      <c r="W16" s="591">
        <f ca="1">IF(SUM(M16:O16)=0,"",SUM(M16:O16))</f>
        <v>366.11480072008493</v>
      </c>
      <c r="X16" s="592">
        <f ca="1">IF(SUM(P16:R16)=0,"",SUM(P16:R16))</f>
        <v>119.82935735121085</v>
      </c>
      <c r="Y16" s="93"/>
    </row>
    <row r="17" spans="4:35" ht="16.2" customHeight="1" thickTop="1" thickBot="1" x14ac:dyDescent="0.35">
      <c r="D17" s="112"/>
      <c r="E17" s="193">
        <v>2012</v>
      </c>
      <c r="F17" s="194" t="str">
        <f t="shared" ref="F17:F25" ca="1" si="0">$F$16</f>
        <v>£M</v>
      </c>
      <c r="G17" s="589">
        <f ca="1"/>
        <v>14.621677277116135</v>
      </c>
      <c r="H17" s="589">
        <f ca="1"/>
        <v>33.512062339960153</v>
      </c>
      <c r="I17" s="589">
        <f ca="1"/>
        <v>54.258066966398211</v>
      </c>
      <c r="J17" s="590">
        <f ca="1"/>
        <v>92.440401713407198</v>
      </c>
      <c r="K17" s="590">
        <f ca="1"/>
        <v>95.940408292392775</v>
      </c>
      <c r="L17" s="590">
        <f ca="1"/>
        <v>99.815081131856545</v>
      </c>
      <c r="M17" s="591">
        <f ca="1"/>
        <v>130.6766437015518</v>
      </c>
      <c r="N17" s="591">
        <f ca="1"/>
        <v>153.1152587137868</v>
      </c>
      <c r="O17" s="591">
        <f ca="1"/>
        <v>109.38821583789829</v>
      </c>
      <c r="P17" s="592">
        <f ca="1"/>
        <v>75.742665411501605</v>
      </c>
      <c r="Q17" s="592">
        <f ca="1"/>
        <v>36.920178375303159</v>
      </c>
      <c r="R17" s="592">
        <f ca="1"/>
        <v>21.828416089380998</v>
      </c>
      <c r="S17" s="593">
        <f ca="1"/>
        <v>918.25907585055359</v>
      </c>
      <c r="T17" s="195">
        <f ca="1">IFERROR(IF(S17&lt;&gt;0,S17/S16-1,""),"")</f>
        <v>6.2059921881975511E-2</v>
      </c>
      <c r="U17" s="589">
        <f t="shared" ref="U17:U26" ca="1" si="1">IF(SUM(G17:I17)=0,"",SUM(G17:I17))</f>
        <v>102.39180658347451</v>
      </c>
      <c r="V17" s="590">
        <f t="shared" ref="V17:V26" ca="1" si="2">IF(SUM(J17:L17)=0,"",SUM(J17:L17))</f>
        <v>288.19589113765653</v>
      </c>
      <c r="W17" s="591">
        <f t="shared" ref="W17:W26" ca="1" si="3">IF(SUM(M17:O17)=0,"",SUM(M17:O17))</f>
        <v>393.18011825323686</v>
      </c>
      <c r="X17" s="592">
        <f t="shared" ref="X17:X26" ca="1" si="4">IF(SUM(P17:R17)=0,"",SUM(P17:R17))</f>
        <v>134.49125987618575</v>
      </c>
    </row>
    <row r="18" spans="4:35" ht="16.2" customHeight="1" thickTop="1" thickBot="1" x14ac:dyDescent="0.35">
      <c r="D18" s="112"/>
      <c r="E18" s="193">
        <v>2013</v>
      </c>
      <c r="F18" s="194" t="str">
        <f t="shared" ca="1" si="0"/>
        <v>£M</v>
      </c>
      <c r="G18" s="589">
        <f ca="1"/>
        <v>15.882004356885169</v>
      </c>
      <c r="H18" s="589">
        <f ca="1"/>
        <v>34.820892872438932</v>
      </c>
      <c r="I18" s="589">
        <f ca="1"/>
        <v>55.430818464556495</v>
      </c>
      <c r="J18" s="590">
        <f ca="1"/>
        <v>86.385887194567431</v>
      </c>
      <c r="K18" s="590">
        <f ca="1"/>
        <v>115.5165695886553</v>
      </c>
      <c r="L18" s="590">
        <f ca="1"/>
        <v>103.85032671875079</v>
      </c>
      <c r="M18" s="591">
        <f ca="1"/>
        <v>143.04477951650026</v>
      </c>
      <c r="N18" s="591">
        <f ca="1"/>
        <v>167.69886948990492</v>
      </c>
      <c r="O18" s="591">
        <f ca="1"/>
        <v>106.73021031775735</v>
      </c>
      <c r="P18" s="592">
        <f ca="1"/>
        <v>68.260129448624369</v>
      </c>
      <c r="Q18" s="592">
        <f ca="1"/>
        <v>37.72602830734445</v>
      </c>
      <c r="R18" s="592">
        <f ca="1"/>
        <v>21.45760117065517</v>
      </c>
      <c r="S18" s="593">
        <f ca="1"/>
        <v>956.80411744664059</v>
      </c>
      <c r="T18" s="195">
        <f t="shared" ref="T18:T27" ca="1" si="5">IFERROR(IF(S18&lt;&gt;0,S18/S17-1,""),"")</f>
        <v>4.1976216309524528E-2</v>
      </c>
      <c r="U18" s="589">
        <f t="shared" ca="1" si="1"/>
        <v>106.13371569388059</v>
      </c>
      <c r="V18" s="590">
        <f t="shared" ca="1" si="2"/>
        <v>305.75278350197351</v>
      </c>
      <c r="W18" s="591">
        <f t="shared" ca="1" si="3"/>
        <v>417.4738593241625</v>
      </c>
      <c r="X18" s="592">
        <f t="shared" ca="1" si="4"/>
        <v>127.44375892662399</v>
      </c>
    </row>
    <row r="19" spans="4:35" ht="16.2" customHeight="1" thickTop="1" thickBot="1" x14ac:dyDescent="0.35">
      <c r="D19" s="112"/>
      <c r="E19" s="193">
        <v>2014</v>
      </c>
      <c r="F19" s="194" t="str">
        <f t="shared" ca="1" si="0"/>
        <v>£M</v>
      </c>
      <c r="G19" s="589">
        <f ca="1"/>
        <v>17.951826090164872</v>
      </c>
      <c r="H19" s="589">
        <f ca="1"/>
        <v>35.344008799289639</v>
      </c>
      <c r="I19" s="589">
        <f ca="1"/>
        <v>57.242320914714355</v>
      </c>
      <c r="J19" s="590">
        <f ca="1"/>
        <v>95.348175711569169</v>
      </c>
      <c r="K19" s="590">
        <f ca="1"/>
        <v>117.16077949545375</v>
      </c>
      <c r="L19" s="590">
        <f ca="1"/>
        <v>99.565487190520855</v>
      </c>
      <c r="M19" s="591">
        <f ca="1"/>
        <v>141.90517026624477</v>
      </c>
      <c r="N19" s="591">
        <f ca="1"/>
        <v>172.34926227238233</v>
      </c>
      <c r="O19" s="591">
        <f ca="1"/>
        <v>110.46611945189866</v>
      </c>
      <c r="P19" s="592">
        <f ca="1"/>
        <v>69.375622072794783</v>
      </c>
      <c r="Q19" s="592">
        <f ca="1"/>
        <v>37.415291906328719</v>
      </c>
      <c r="R19" s="592">
        <f ca="1"/>
        <v>20.040828277855166</v>
      </c>
      <c r="S19" s="593">
        <f ca="1"/>
        <v>974.16489244921706</v>
      </c>
      <c r="T19" s="195">
        <f t="shared" ca="1" si="5"/>
        <v>1.8144544621009784E-2</v>
      </c>
      <c r="U19" s="589">
        <f t="shared" ca="1" si="1"/>
        <v>110.53815580416887</v>
      </c>
      <c r="V19" s="590">
        <f t="shared" ca="1" si="2"/>
        <v>312.07444239754375</v>
      </c>
      <c r="W19" s="591">
        <f t="shared" ca="1" si="3"/>
        <v>424.72055199052579</v>
      </c>
      <c r="X19" s="592">
        <f t="shared" ca="1" si="4"/>
        <v>126.83174225697867</v>
      </c>
    </row>
    <row r="20" spans="4:35" ht="16.2" customHeight="1" thickTop="1" thickBot="1" x14ac:dyDescent="0.35">
      <c r="D20" s="112"/>
      <c r="E20" s="193">
        <v>2015</v>
      </c>
      <c r="F20" s="194" t="str">
        <f t="shared" ca="1" si="0"/>
        <v>£M</v>
      </c>
      <c r="G20" s="589">
        <f ca="1"/>
        <v>18.328008324011495</v>
      </c>
      <c r="H20" s="589">
        <f ca="1"/>
        <v>37.067115930523912</v>
      </c>
      <c r="I20" s="589">
        <f ca="1"/>
        <v>58.327918429616766</v>
      </c>
      <c r="J20" s="590">
        <f ca="1"/>
        <v>99.293685152325907</v>
      </c>
      <c r="K20" s="590">
        <f ca="1"/>
        <v>122.71758081738827</v>
      </c>
      <c r="L20" s="590">
        <f ca="1"/>
        <v>103.39384323286295</v>
      </c>
      <c r="M20" s="591">
        <f ca="1"/>
        <v>155.51959956261666</v>
      </c>
      <c r="N20" s="591">
        <f ca="1"/>
        <v>182.9169579430789</v>
      </c>
      <c r="O20" s="591">
        <f ca="1"/>
        <v>113.31220550683794</v>
      </c>
      <c r="P20" s="592">
        <f ca="1"/>
        <v>72.633738955454561</v>
      </c>
      <c r="Q20" s="592">
        <f ca="1"/>
        <v>37.644028579106589</v>
      </c>
      <c r="R20" s="592">
        <f ca="1"/>
        <v>18.588140180147551</v>
      </c>
      <c r="S20" s="593">
        <f ca="1"/>
        <v>1019.7428226139715</v>
      </c>
      <c r="T20" s="195">
        <f t="shared" ca="1" si="5"/>
        <v>4.6786668784751351E-2</v>
      </c>
      <c r="U20" s="589">
        <f t="shared" ca="1" si="1"/>
        <v>113.72304268415218</v>
      </c>
      <c r="V20" s="590">
        <f t="shared" ca="1" si="2"/>
        <v>325.40510920257714</v>
      </c>
      <c r="W20" s="591">
        <f t="shared" ca="1" si="3"/>
        <v>451.74876301253346</v>
      </c>
      <c r="X20" s="592">
        <f t="shared" ca="1" si="4"/>
        <v>128.8659077147087</v>
      </c>
    </row>
    <row r="21" spans="4:35" ht="16.2" customHeight="1" thickTop="1" thickBot="1" x14ac:dyDescent="0.35">
      <c r="D21" s="112"/>
      <c r="E21" s="193">
        <v>2016</v>
      </c>
      <c r="F21" s="194" t="str">
        <f t="shared" ca="1" si="0"/>
        <v>£M</v>
      </c>
      <c r="G21" s="589">
        <f ca="1"/>
        <v>19.964485561157179</v>
      </c>
      <c r="H21" s="589">
        <f ca="1"/>
        <v>34.873352465914557</v>
      </c>
      <c r="I21" s="589">
        <f ca="1"/>
        <v>65.667333307452012</v>
      </c>
      <c r="J21" s="590">
        <f ca="1"/>
        <v>92.776003206595149</v>
      </c>
      <c r="K21" s="590">
        <f ca="1"/>
        <v>107.43400070992296</v>
      </c>
      <c r="L21" s="590">
        <f ca="1"/>
        <v>113.49400140198517</v>
      </c>
      <c r="M21" s="591">
        <f ca="1"/>
        <v>153.68159009652746</v>
      </c>
      <c r="N21" s="591">
        <f ca="1"/>
        <v>177.3113108695687</v>
      </c>
      <c r="O21" s="591">
        <f ca="1"/>
        <v>113.82432485180374</v>
      </c>
      <c r="P21" s="592">
        <f ca="1"/>
        <v>68.35141781676829</v>
      </c>
      <c r="Q21" s="592">
        <f ca="1"/>
        <v>38.481071366228448</v>
      </c>
      <c r="R21" s="592">
        <f ca="1"/>
        <v>24.538568315552098</v>
      </c>
      <c r="S21" s="593">
        <f ca="1"/>
        <v>1010.397459969476</v>
      </c>
      <c r="T21" s="195">
        <f t="shared" ca="1" si="5"/>
        <v>-9.1644309106682087E-3</v>
      </c>
      <c r="U21" s="589">
        <f t="shared" ca="1" si="1"/>
        <v>120.50517133452375</v>
      </c>
      <c r="V21" s="590">
        <f t="shared" ca="1" si="2"/>
        <v>313.70400531850328</v>
      </c>
      <c r="W21" s="591">
        <f t="shared" ca="1" si="3"/>
        <v>444.8172258178999</v>
      </c>
      <c r="X21" s="592">
        <f t="shared" ca="1" si="4"/>
        <v>131.37105749854885</v>
      </c>
    </row>
    <row r="22" spans="4:35" ht="16.2" customHeight="1" thickTop="1" thickBot="1" x14ac:dyDescent="0.35">
      <c r="D22" s="112"/>
      <c r="E22" s="193">
        <v>2017</v>
      </c>
      <c r="F22" s="194" t="str">
        <f t="shared" ca="1" si="0"/>
        <v>£M</v>
      </c>
      <c r="G22" s="589">
        <f ca="1"/>
        <v>22.93825128657409</v>
      </c>
      <c r="H22" s="589">
        <f ca="1"/>
        <v>38.77891901437004</v>
      </c>
      <c r="I22" s="589">
        <f ca="1"/>
        <v>59.706947512603065</v>
      </c>
      <c r="J22" s="590">
        <f ca="1"/>
        <v>114.59939112301684</v>
      </c>
      <c r="K22" s="590">
        <f ca="1"/>
        <v>113.26392342856619</v>
      </c>
      <c r="L22" s="590">
        <f ca="1"/>
        <v>111.56610336403745</v>
      </c>
      <c r="M22" s="591">
        <f ca="1"/>
        <v>156.53462049819711</v>
      </c>
      <c r="N22" s="591">
        <f ca="1"/>
        <v>174.59002764505152</v>
      </c>
      <c r="O22" s="591">
        <f ca="1"/>
        <v>114.90610804631773</v>
      </c>
      <c r="P22" s="592">
        <f ca="1"/>
        <v>74.92216597173892</v>
      </c>
      <c r="Q22" s="592">
        <f ca="1"/>
        <v>39.656789842216533</v>
      </c>
      <c r="R22" s="592">
        <f ca="1"/>
        <v>23.251330519371219</v>
      </c>
      <c r="S22" s="593">
        <f ca="1"/>
        <v>1044.7145782520606</v>
      </c>
      <c r="T22" s="195">
        <f t="shared" ca="1" si="5"/>
        <v>3.396397916877314E-2</v>
      </c>
      <c r="U22" s="589">
        <f t="shared" ca="1" si="1"/>
        <v>121.4241178135472</v>
      </c>
      <c r="V22" s="590">
        <f t="shared" ca="1" si="2"/>
        <v>339.42941791562043</v>
      </c>
      <c r="W22" s="591">
        <f t="shared" ca="1" si="3"/>
        <v>446.03075618956638</v>
      </c>
      <c r="X22" s="592">
        <f t="shared" ca="1" si="4"/>
        <v>137.83028633332665</v>
      </c>
    </row>
    <row r="23" spans="4:35" ht="16.2" customHeight="1" thickTop="1" thickBot="1" x14ac:dyDescent="0.35">
      <c r="D23" s="112"/>
      <c r="E23" s="193">
        <v>2018</v>
      </c>
      <c r="F23" s="194" t="str">
        <f t="shared" ca="1" si="0"/>
        <v>£M</v>
      </c>
      <c r="G23" s="589">
        <f ca="1"/>
        <v>21.541386319450069</v>
      </c>
      <c r="H23" s="589">
        <f ca="1"/>
        <v>40.496085463535842</v>
      </c>
      <c r="I23" s="589">
        <f ca="1"/>
        <v>61.298614042106486</v>
      </c>
      <c r="J23" s="590">
        <f ca="1"/>
        <v>105.8948173866669</v>
      </c>
      <c r="K23" s="590">
        <f ca="1"/>
        <v>121.72754769149356</v>
      </c>
      <c r="L23" s="590">
        <f ca="1"/>
        <v>121.27943616210401</v>
      </c>
      <c r="M23" s="591">
        <f ca="1"/>
        <v>159.57396930099895</v>
      </c>
      <c r="N23" s="591">
        <f ca="1"/>
        <v>174.1253706296628</v>
      </c>
      <c r="O23" s="591">
        <f ca="1"/>
        <v>121.13935117859701</v>
      </c>
      <c r="P23" s="592">
        <f ca="1"/>
        <v>79.759360147095848</v>
      </c>
      <c r="Q23" s="592">
        <f ca="1"/>
        <v>42.859843549799422</v>
      </c>
      <c r="R23" s="592">
        <f ca="1"/>
        <v>25.79286893405293</v>
      </c>
      <c r="S23" s="593">
        <f ca="1"/>
        <v>1075.4886508055638</v>
      </c>
      <c r="T23" s="195">
        <f t="shared" ca="1" si="5"/>
        <v>2.9456918850498059E-2</v>
      </c>
      <c r="U23" s="589">
        <f t="shared" ca="1" si="1"/>
        <v>123.3360858250924</v>
      </c>
      <c r="V23" s="590">
        <f t="shared" ca="1" si="2"/>
        <v>348.90180124026443</v>
      </c>
      <c r="W23" s="591">
        <f t="shared" ca="1" si="3"/>
        <v>454.83869110925872</v>
      </c>
      <c r="X23" s="592">
        <f t="shared" ca="1" si="4"/>
        <v>148.41207263094819</v>
      </c>
    </row>
    <row r="24" spans="4:35" ht="16.2" customHeight="1" thickTop="1" thickBot="1" x14ac:dyDescent="0.35">
      <c r="D24" s="112"/>
      <c r="E24" s="193">
        <v>2019</v>
      </c>
      <c r="F24" s="194" t="str">
        <f t="shared" ca="1" si="0"/>
        <v>£M</v>
      </c>
      <c r="G24" s="589">
        <f ca="1"/>
        <v>29.18166296196036</v>
      </c>
      <c r="H24" s="589">
        <f ca="1"/>
        <v>41.794638375563601</v>
      </c>
      <c r="I24" s="589">
        <f ca="1"/>
        <v>61.152151579408148</v>
      </c>
      <c r="J24" s="590">
        <f ca="1"/>
        <v>116.0254090335868</v>
      </c>
      <c r="K24" s="590">
        <f ca="1"/>
        <v>124.84845431131953</v>
      </c>
      <c r="L24" s="590">
        <f ca="1"/>
        <v>119.28075525565086</v>
      </c>
      <c r="M24" s="591">
        <f ca="1"/>
        <v>162.98093716215647</v>
      </c>
      <c r="N24" s="591">
        <f ca="1"/>
        <v>181.67617944510704</v>
      </c>
      <c r="O24" s="591">
        <f ca="1"/>
        <v>123.58444247059542</v>
      </c>
      <c r="P24" s="592">
        <f ca="1"/>
        <v>83.778488095767372</v>
      </c>
      <c r="Q24" s="592">
        <f ca="1"/>
        <v>45.58960409945044</v>
      </c>
      <c r="R24" s="592">
        <f ca="1"/>
        <v>28.437758951402941</v>
      </c>
      <c r="S24" s="593">
        <f ca="1"/>
        <v>1118.3304817419687</v>
      </c>
      <c r="T24" s="195">
        <f t="shared" ca="1" si="5"/>
        <v>3.9834758743679366E-2</v>
      </c>
      <c r="U24" s="589">
        <f t="shared" ca="1" si="1"/>
        <v>132.1284529169321</v>
      </c>
      <c r="V24" s="590">
        <f t="shared" ca="1" si="2"/>
        <v>360.15461860055723</v>
      </c>
      <c r="W24" s="591">
        <f t="shared" ca="1" si="3"/>
        <v>468.24155907785894</v>
      </c>
      <c r="X24" s="592">
        <f t="shared" ca="1" si="4"/>
        <v>157.80585114662074</v>
      </c>
    </row>
    <row r="25" spans="4:35" ht="16.2" customHeight="1" thickTop="1" thickBot="1" x14ac:dyDescent="0.35">
      <c r="D25" s="112"/>
      <c r="E25" s="193">
        <v>2020</v>
      </c>
      <c r="F25" s="194" t="str">
        <f t="shared" ca="1" si="0"/>
        <v>£M</v>
      </c>
      <c r="G25" s="589">
        <f ca="1"/>
        <v>29.103672102628433</v>
      </c>
      <c r="H25" s="589">
        <f ca="1"/>
        <v>44.474770517439637</v>
      </c>
      <c r="I25" s="589">
        <f ca="1"/>
        <v>41.368314020962487</v>
      </c>
      <c r="J25" s="590">
        <f ca="1"/>
        <v>0</v>
      </c>
      <c r="K25" s="590">
        <f ca="1"/>
        <v>0</v>
      </c>
      <c r="L25" s="590">
        <f ca="1"/>
        <v>0.74677994982734264</v>
      </c>
      <c r="M25" s="591">
        <f ca="1"/>
        <v>47.37241245479084</v>
      </c>
      <c r="N25" s="591">
        <f ca="1"/>
        <v>123.4175704917668</v>
      </c>
      <c r="O25" s="591">
        <f ca="1"/>
        <v>100.09462320045721</v>
      </c>
      <c r="P25" s="592">
        <f ca="1"/>
        <v>0.76600932694018664</v>
      </c>
      <c r="Q25" s="592">
        <f ca="1"/>
        <v>13.767865966628115</v>
      </c>
      <c r="R25" s="592">
        <f ca="1"/>
        <v>6.4074282979984591</v>
      </c>
      <c r="S25" s="593">
        <f ca="1"/>
        <v>407.51944632943946</v>
      </c>
      <c r="T25" s="195">
        <f t="shared" ca="1" si="5"/>
        <v>-0.63560016204273861</v>
      </c>
      <c r="U25" s="589">
        <f t="shared" ca="1" si="1"/>
        <v>114.94675664103056</v>
      </c>
      <c r="V25" s="590">
        <f t="shared" ca="1" si="2"/>
        <v>0.74677994982734264</v>
      </c>
      <c r="W25" s="591">
        <f t="shared" ca="1" si="3"/>
        <v>270.88460614701484</v>
      </c>
      <c r="X25" s="592">
        <f t="shared" ca="1" si="4"/>
        <v>20.941303591566761</v>
      </c>
    </row>
    <row r="26" spans="4:35" ht="16.2" customHeight="1" thickTop="1" thickBot="1" x14ac:dyDescent="0.35">
      <c r="D26" s="112"/>
      <c r="E26" s="193">
        <v>2021</v>
      </c>
      <c r="F26" s="194" t="str">
        <f t="shared" ref="F26:F27" ca="1" si="6">$F$30</f>
        <v>£M</v>
      </c>
      <c r="G26" s="589">
        <f ca="1"/>
        <v>0</v>
      </c>
      <c r="H26" s="589">
        <f ca="1"/>
        <v>0</v>
      </c>
      <c r="I26" s="589">
        <f ca="1"/>
        <v>9.2653225648357722</v>
      </c>
      <c r="J26" s="590">
        <f ca="1"/>
        <v>31.015210310296705</v>
      </c>
      <c r="K26" s="590">
        <f ca="1"/>
        <v>36.463541300179877</v>
      </c>
      <c r="L26" s="590">
        <f ca="1"/>
        <v>95.864379634658818</v>
      </c>
      <c r="M26" s="591">
        <f ca="1"/>
        <v>153.12342492706048</v>
      </c>
      <c r="N26" s="591">
        <f ca="1"/>
        <v>189.61085720508029</v>
      </c>
      <c r="O26" s="591">
        <f ca="1"/>
        <v>128.18568297188594</v>
      </c>
      <c r="P26" s="592">
        <f ca="1"/>
        <v>92.175493881573473</v>
      </c>
      <c r="Q26" s="592">
        <f ca="1"/>
        <v>37.364119864046806</v>
      </c>
      <c r="R26" s="592">
        <f ca="1"/>
        <v>24.445730604016202</v>
      </c>
      <c r="S26" s="593">
        <f ca="1"/>
        <v>797.51376326363459</v>
      </c>
      <c r="T26" s="195">
        <f t="shared" ca="1" si="5"/>
        <v>0.95699559971163439</v>
      </c>
      <c r="U26" s="589">
        <f t="shared" ca="1" si="1"/>
        <v>9.2653225648357722</v>
      </c>
      <c r="V26" s="590">
        <f t="shared" ca="1" si="2"/>
        <v>163.3431312451354</v>
      </c>
      <c r="W26" s="591">
        <f t="shared" ca="1" si="3"/>
        <v>470.91996510402669</v>
      </c>
      <c r="X26" s="592">
        <f t="shared" ca="1" si="4"/>
        <v>153.98534434963648</v>
      </c>
    </row>
    <row r="27" spans="4:35" ht="16.2" customHeight="1" thickTop="1" thickBot="1" x14ac:dyDescent="0.35">
      <c r="D27" s="112"/>
      <c r="E27" s="193">
        <v>2022</v>
      </c>
      <c r="F27" s="194" t="str">
        <f t="shared" ca="1" si="6"/>
        <v>£M</v>
      </c>
      <c r="G27" s="589">
        <f ca="1"/>
        <v>22.07084351345577</v>
      </c>
      <c r="H27" s="589">
        <f ca="1"/>
        <v>35.25349326309432</v>
      </c>
      <c r="I27" s="589">
        <f ca="1"/>
        <v>66.624610997233688</v>
      </c>
      <c r="J27" s="590">
        <f ca="1"/>
        <v>113.35486021020706</v>
      </c>
      <c r="K27" s="590">
        <f ca="1"/>
        <v>120.36281761729568</v>
      </c>
      <c r="L27" s="590">
        <f ca="1"/>
        <v>124.17924312954133</v>
      </c>
      <c r="M27" s="591">
        <f ca="1"/>
        <v>168.12843522534385</v>
      </c>
      <c r="N27" s="591">
        <f ca="1"/>
        <v>179.40402984765086</v>
      </c>
      <c r="O27" s="591">
        <f ca="1"/>
        <v>116.87458782432589</v>
      </c>
      <c r="P27" s="592">
        <f ca="1"/>
        <v>82.512750793161572</v>
      </c>
      <c r="Q27" s="592">
        <f ca="1"/>
        <v>43.238326658979169</v>
      </c>
      <c r="R27" s="592">
        <f ca="1"/>
        <v>25.750542571062844</v>
      </c>
      <c r="S27" s="593">
        <f ca="1"/>
        <v>1097.7545416513522</v>
      </c>
      <c r="T27" s="195">
        <f t="shared" ca="1" si="5"/>
        <v>0.37647096792292833</v>
      </c>
      <c r="U27" s="589">
        <f ca="1">IF(SUM(G27:I27)=0,"",SUM(G27:I27))</f>
        <v>123.94894777378377</v>
      </c>
      <c r="V27" s="590">
        <f ca="1">IF(SUM(J27:L27)=0,"",SUM(J27:L27))</f>
        <v>357.89692095704407</v>
      </c>
      <c r="W27" s="591">
        <f ca="1">IF(SUM(M27:O27)=0,"",SUM(M27:O27))</f>
        <v>464.40705289732057</v>
      </c>
      <c r="X27" s="592">
        <f ca="1">IF(SUM(P27:R27)=0,"",SUM(P27:R27))</f>
        <v>151.5016200232036</v>
      </c>
    </row>
    <row r="28" spans="4:35" ht="16.2" customHeight="1" thickTop="1" thickBot="1" x14ac:dyDescent="0.35">
      <c r="D28" s="112"/>
      <c r="E28" s="867" t="str">
        <f ca="1">$A$1&amp;IF(REP.indexed="YES"," - INDEXED TO "&amp;MAX(REP.yearsrange)," - IN HISTORIC PRICES")</f>
        <v>ECONOMIC IMPACT - INDEXED TO 2022</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35" ht="16.2" customHeight="1" thickTop="1" thickBot="1" x14ac:dyDescent="0.35">
      <c r="D29" s="196" t="str">
        <f t="shared" ref="D29:D35" ca="1" si="7">"'"&amp;$A$1&amp;"'!"&amp;CELL("address",G29)&amp;":"&amp;CELL("address",OFFSET(G29,0,YEARSINREP-1))</f>
        <v>'ECONOMIC IMPACT'!$G$29:$R$29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c r="Z29" s="76"/>
      <c r="AA29" s="76"/>
      <c r="AB29" s="76"/>
      <c r="AC29" s="76"/>
      <c r="AD29" s="76"/>
      <c r="AE29" s="76"/>
      <c r="AF29" s="76"/>
      <c r="AG29" s="76"/>
      <c r="AH29" s="76"/>
      <c r="AI29" s="76"/>
    </row>
    <row r="30" spans="4:35" ht="16.2" customHeight="1" thickTop="1" thickBot="1" x14ac:dyDescent="0.35">
      <c r="D30" s="196" t="str">
        <f t="shared" ca="1" si="7"/>
        <v>'ECONOMIC IMPACT'!$G$30:$R$30</v>
      </c>
      <c r="E30" s="200" t="str">
        <f>IF(TYPE.userselected="SFR",TYPE.userselected,PROPER(VISTYPE.short))</f>
        <v>Total</v>
      </c>
      <c r="F30" s="194" t="str">
        <f ca="1">F16</f>
        <v>£M</v>
      </c>
      <c r="G30" s="594">
        <f t="array" aca="1" ref="G30:R30" ca="1">EI.SHARE_VT_ANN</f>
        <v>864.60194658639773</v>
      </c>
      <c r="H30" s="594">
        <f ca="1"/>
        <v>918.25907585055359</v>
      </c>
      <c r="I30" s="594">
        <f ca="1"/>
        <v>956.80411744664059</v>
      </c>
      <c r="J30" s="594">
        <f ca="1"/>
        <v>974.16489244921706</v>
      </c>
      <c r="K30" s="594">
        <f ca="1"/>
        <v>1019.7428226139715</v>
      </c>
      <c r="L30" s="594">
        <f ca="1"/>
        <v>1010.397459969476</v>
      </c>
      <c r="M30" s="594">
        <f ca="1"/>
        <v>1044.7145782520606</v>
      </c>
      <c r="N30" s="594">
        <f ca="1"/>
        <v>1075.4886508055638</v>
      </c>
      <c r="O30" s="594">
        <f ca="1"/>
        <v>1118.3304817419687</v>
      </c>
      <c r="P30" s="594">
        <f ca="1"/>
        <v>407.51944632943946</v>
      </c>
      <c r="Q30" s="594">
        <f ca="1"/>
        <v>797.51376326363459</v>
      </c>
      <c r="R30" s="594">
        <f ca="1"/>
        <v>1097.7545416513522</v>
      </c>
      <c r="S30" s="201"/>
      <c r="T30" s="199"/>
      <c r="U30" s="199"/>
      <c r="V30" s="199"/>
      <c r="W30" s="199"/>
      <c r="X30" s="199"/>
    </row>
    <row r="31" spans="4:35" ht="16.2" customHeight="1" thickTop="1" thickBot="1" x14ac:dyDescent="0.35">
      <c r="D31" s="196" t="str">
        <f t="shared" ca="1" si="7"/>
        <v>'ECONOMIC IMPACT'!$G$31:$R$31</v>
      </c>
      <c r="E31" s="200" t="s">
        <v>96</v>
      </c>
      <c r="F31" s="194" t="str">
        <f>IF($A$4=1,"£000s",IF(A4=1000,"£M","£Bn"))</f>
        <v>£Bn</v>
      </c>
      <c r="G31" s="595">
        <f t="array" aca="1" ref="G31:R31" ca="1">EI.SHARE_TOTAL_ANN</f>
        <v>0.86460194658639766</v>
      </c>
      <c r="H31" s="595">
        <f ca="1"/>
        <v>0.91825907585055355</v>
      </c>
      <c r="I31" s="595">
        <f ca="1"/>
        <v>0.95680411744664062</v>
      </c>
      <c r="J31" s="595">
        <f ca="1"/>
        <v>0.974164892449217</v>
      </c>
      <c r="K31" s="595">
        <f ca="1"/>
        <v>1.0197428226139715</v>
      </c>
      <c r="L31" s="595">
        <f ca="1"/>
        <v>1.0103974599694761</v>
      </c>
      <c r="M31" s="595">
        <f ca="1"/>
        <v>1.0447145782520606</v>
      </c>
      <c r="N31" s="595">
        <f ca="1"/>
        <v>1.0754886508055639</v>
      </c>
      <c r="O31" s="595">
        <f ca="1"/>
        <v>1.1183304817419688</v>
      </c>
      <c r="P31" s="595">
        <f ca="1"/>
        <v>0.40751944632943948</v>
      </c>
      <c r="Q31" s="595">
        <f ca="1"/>
        <v>0.79751376326363466</v>
      </c>
      <c r="R31" s="595">
        <f ca="1"/>
        <v>1.0977545416513521</v>
      </c>
      <c r="S31" s="202"/>
      <c r="T31" s="199"/>
      <c r="U31" s="199"/>
      <c r="V31" s="199"/>
      <c r="W31" s="199"/>
      <c r="X31" s="199"/>
    </row>
    <row r="32" spans="4:35" ht="16.2" customHeight="1" thickTop="1" thickBot="1" x14ac:dyDescent="0.35">
      <c r="D32" s="196" t="str">
        <f t="shared" ca="1" si="7"/>
        <v>'ECONOMIC IMPACT'!$G$32:$R$32</v>
      </c>
      <c r="E32" s="200" t="s">
        <v>121</v>
      </c>
      <c r="F32" s="194" t="s">
        <v>117</v>
      </c>
      <c r="G32" s="135">
        <f t="array" aca="1" ref="G32:R32" ca="1">IFERROR((EI.SHARE_VT_ANN*$A$2)/(EI.SHARE_TOTAL_ANN*$A$4),"")</f>
        <v>1</v>
      </c>
      <c r="H32" s="135">
        <f ca="1"/>
        <v>1</v>
      </c>
      <c r="I32" s="135">
        <f ca="1"/>
        <v>1</v>
      </c>
      <c r="J32" s="135">
        <f ca="1"/>
        <v>1</v>
      </c>
      <c r="K32" s="135">
        <f ca="1"/>
        <v>1</v>
      </c>
      <c r="L32" s="135">
        <f ca="1"/>
        <v>0.99999999999999989</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7"/>
        <v>'ECONOMIC IMPACT'!$G$33:$R$33</v>
      </c>
      <c r="E33" s="200" t="s">
        <v>122</v>
      </c>
      <c r="F33" s="194" t="s">
        <v>117</v>
      </c>
      <c r="G33" s="195"/>
      <c r="H33" s="135">
        <f ca="1">IFERROR(H32/G32-1,"")</f>
        <v>0</v>
      </c>
      <c r="I33" s="135">
        <f t="shared" ref="I33:R33" ca="1" si="8">IFERROR(I32/H32-1,"")</f>
        <v>0</v>
      </c>
      <c r="J33" s="135">
        <f t="shared" ca="1" si="8"/>
        <v>0</v>
      </c>
      <c r="K33" s="135">
        <f t="shared" ca="1" si="8"/>
        <v>0</v>
      </c>
      <c r="L33" s="135">
        <f t="shared" ca="1" si="8"/>
        <v>-1.1102230246251565E-16</v>
      </c>
      <c r="M33" s="135">
        <f t="shared" ca="1" si="8"/>
        <v>0</v>
      </c>
      <c r="N33" s="135">
        <f t="shared" ca="1" si="8"/>
        <v>0</v>
      </c>
      <c r="O33" s="135">
        <f t="shared" ca="1" si="8"/>
        <v>0</v>
      </c>
      <c r="P33" s="135">
        <f t="shared" ca="1" si="8"/>
        <v>0</v>
      </c>
      <c r="Q33" s="135">
        <f t="shared" ca="1" si="8"/>
        <v>0</v>
      </c>
      <c r="R33" s="135">
        <f t="shared" ca="1" si="8"/>
        <v>0</v>
      </c>
      <c r="S33" s="135"/>
      <c r="T33" s="199"/>
      <c r="U33" s="199"/>
      <c r="V33" s="199"/>
      <c r="W33" s="199"/>
      <c r="X33" s="199"/>
    </row>
    <row r="34" spans="4:24" ht="16.2" customHeight="1" thickTop="1" thickBot="1" x14ac:dyDescent="0.35">
      <c r="D34" s="196" t="str">
        <f t="shared" ca="1" si="7"/>
        <v>'ECONOMIC IMPACT'!$G$34:$R$34</v>
      </c>
      <c r="E34" s="200" t="str">
        <f>"Change in Share from "&amp;MIN(REP.yearsrange)</f>
        <v>Change in Share from 2011</v>
      </c>
      <c r="F34" s="194" t="s">
        <v>117</v>
      </c>
      <c r="G34" s="195"/>
      <c r="H34" s="135">
        <f t="shared" ref="H34:R34" ca="1" si="9">IFERROR(H32/$G$32-1,"")</f>
        <v>0</v>
      </c>
      <c r="I34" s="135">
        <f t="shared" ca="1" si="9"/>
        <v>0</v>
      </c>
      <c r="J34" s="135">
        <f t="shared" ca="1" si="9"/>
        <v>0</v>
      </c>
      <c r="K34" s="135">
        <f t="shared" ca="1" si="9"/>
        <v>0</v>
      </c>
      <c r="L34" s="135">
        <f t="shared" ca="1" si="9"/>
        <v>-1.1102230246251565E-16</v>
      </c>
      <c r="M34" s="135">
        <f t="shared" ca="1" si="9"/>
        <v>0</v>
      </c>
      <c r="N34" s="135">
        <f t="shared" ca="1" si="9"/>
        <v>0</v>
      </c>
      <c r="O34" s="135">
        <f t="shared" ca="1" si="9"/>
        <v>0</v>
      </c>
      <c r="P34" s="135">
        <f t="shared" ca="1" si="9"/>
        <v>0</v>
      </c>
      <c r="Q34" s="135">
        <f t="shared" ca="1" si="9"/>
        <v>0</v>
      </c>
      <c r="R34" s="135">
        <f t="shared" ca="1" si="9"/>
        <v>0</v>
      </c>
      <c r="S34" s="135"/>
      <c r="T34" s="199"/>
      <c r="U34" s="199"/>
      <c r="V34" s="199"/>
      <c r="W34" s="199"/>
      <c r="X34" s="199"/>
    </row>
    <row r="35" spans="4:24" ht="16.2" customHeight="1" thickTop="1" thickBot="1" x14ac:dyDescent="0.35">
      <c r="D35" s="196" t="str">
        <f t="shared" ca="1" si="7"/>
        <v>'ECONOMIC IMPACT'!$G$35:$R$35</v>
      </c>
      <c r="E35" s="200" t="s">
        <v>146</v>
      </c>
      <c r="F35" s="194" t="s">
        <v>117</v>
      </c>
      <c r="G35" s="195"/>
      <c r="H35" s="135">
        <f ca="1">IFERROR(H34/(H$29-$G$29),"")</f>
        <v>0</v>
      </c>
      <c r="I35" s="135">
        <f t="shared" ref="I35:R35" ca="1" si="10">IFERROR(I34/(I$29-$G$29),"")</f>
        <v>0</v>
      </c>
      <c r="J35" s="135">
        <f t="shared" ca="1" si="10"/>
        <v>0</v>
      </c>
      <c r="K35" s="135">
        <f t="shared" ca="1" si="10"/>
        <v>0</v>
      </c>
      <c r="L35" s="135">
        <f t="shared" ca="1" si="10"/>
        <v>-2.2204460492503132E-17</v>
      </c>
      <c r="M35" s="135">
        <f t="shared" ca="1" si="10"/>
        <v>0</v>
      </c>
      <c r="N35" s="135">
        <f t="shared" ca="1" si="10"/>
        <v>0</v>
      </c>
      <c r="O35" s="135">
        <f t="shared" ca="1" si="10"/>
        <v>0</v>
      </c>
      <c r="P35" s="135">
        <f t="shared" ca="1" si="10"/>
        <v>0</v>
      </c>
      <c r="Q35" s="135">
        <f t="shared" ca="1" si="10"/>
        <v>0</v>
      </c>
      <c r="R35" s="135">
        <f t="shared" ca="1" si="10"/>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s5EEhS0UdsLpzDJyh5t7CI+Xnuc0xSfcuN5MPGrkF+quvPZ2QsWFHEJGQxYDo1m8KsJEtzubJIjTbetoJ4z5g==" saltValue="/QS6f4Af6BtS4AGjTkEk8Q==" spinCount="100000" sheet="1" objects="1" scenarios="1"/>
  <mergeCells count="27">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 ref="S28:X28"/>
    <mergeCell ref="T10:T12"/>
    <mergeCell ref="S8:T9"/>
    <mergeCell ref="E8:F8"/>
    <mergeCell ref="U8:X11"/>
    <mergeCell ref="S10:S12"/>
    <mergeCell ref="E9:F9"/>
    <mergeCell ref="E10:F10"/>
    <mergeCell ref="E11:F11"/>
    <mergeCell ref="G10:R10"/>
    <mergeCell ref="G8:R8"/>
  </mergeCells>
  <conditionalFormatting sqref="E16:X27">
    <cfRule type="expression" dxfId="146" priority="7">
      <formula>$E16=0</formula>
    </cfRule>
  </conditionalFormatting>
  <conditionalFormatting sqref="F31">
    <cfRule type="expression" dxfId="145" priority="47">
      <formula>$E16=0</formula>
    </cfRule>
  </conditionalFormatting>
  <conditionalFormatting sqref="G13:S15">
    <cfRule type="expression" priority="2" stopIfTrue="1">
      <formula>G13=""</formula>
    </cfRule>
    <cfRule type="cellIs" dxfId="144" priority="21" operator="lessThanOrEqual">
      <formula>-REP.percenthighlight</formula>
    </cfRule>
    <cfRule type="cellIs" dxfId="143" priority="22" operator="greaterThanOrEqual">
      <formula>REP.percenthighlight</formula>
    </cfRule>
  </conditionalFormatting>
  <conditionalFormatting sqref="G16:S27 U16:X27 G30:R31">
    <cfRule type="expression" dxfId="142" priority="5">
      <formula>$A$2=1</formula>
    </cfRule>
    <cfRule type="expression" dxfId="141" priority="6">
      <formula>AND($A$2&gt;1,G16&lt;10)</formula>
    </cfRule>
  </conditionalFormatting>
  <conditionalFormatting sqref="G30:S34 H35:S36">
    <cfRule type="expression" dxfId="140" priority="27" stopIfTrue="1">
      <formula>G$29=0</formula>
    </cfRule>
  </conditionalFormatting>
  <conditionalFormatting sqref="G33:S34">
    <cfRule type="cellIs" dxfId="139" priority="30" operator="lessThanOrEqual">
      <formula>-REP.percenthighlight</formula>
    </cfRule>
    <cfRule type="cellIs" dxfId="138" priority="31" operator="greaterThanOrEqual">
      <formula>REP.percenthighlight</formula>
    </cfRule>
  </conditionalFormatting>
  <conditionalFormatting sqref="H35:S36">
    <cfRule type="cellIs" dxfId="137" priority="28" operator="lessThanOrEqual">
      <formula>-REP.percenthighlight</formula>
    </cfRule>
    <cfRule type="cellIs" dxfId="136" priority="29" operator="greaterThanOrEqual">
      <formula>REP.percenthighlight</formula>
    </cfRule>
  </conditionalFormatting>
  <conditionalFormatting sqref="I29:S29">
    <cfRule type="expression" dxfId="135" priority="32">
      <formula>I29=0</formula>
    </cfRule>
  </conditionalFormatting>
  <conditionalFormatting sqref="S6:T7 G9:R9 S28:X28">
    <cfRule type="expression" dxfId="134" priority="8">
      <formula>TYPE.no=6</formula>
    </cfRule>
    <cfRule type="expression" dxfId="133" priority="9">
      <formula>TYPE.no=5</formula>
    </cfRule>
    <cfRule type="expression" dxfId="132" priority="10">
      <formula>TYPE.no=4</formula>
    </cfRule>
    <cfRule type="expression" dxfId="131" priority="11">
      <formula>TYPE.no=3</formula>
    </cfRule>
    <cfRule type="expression" dxfId="130" priority="12">
      <formula>TYPE.no=2</formula>
    </cfRule>
    <cfRule type="expression" dxfId="129" priority="13">
      <formula>TYPE.no=1</formula>
    </cfRule>
  </conditionalFormatting>
  <conditionalFormatting sqref="T17:T27">
    <cfRule type="cellIs" dxfId="128" priority="24" operator="greaterThanOrEqual">
      <formula>REP.percenthighlight</formula>
    </cfRule>
    <cfRule type="cellIs" dxfId="127" priority="36" operator="lessThanOrEqual">
      <formula>-REP.percenthighlight</formula>
    </cfRule>
  </conditionalFormatting>
  <conditionalFormatting sqref="U13:X15">
    <cfRule type="expression" priority="1" stopIfTrue="1">
      <formula>U13=""</formula>
    </cfRule>
    <cfRule type="cellIs" dxfId="126" priority="3" operator="lessThanOrEqual">
      <formula>-REP.percenthighlight</formula>
    </cfRule>
    <cfRule type="cellIs" dxfId="125"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8671875" defaultRowHeight="16.2" customHeight="1" x14ac:dyDescent="0.3"/>
  <cols>
    <col min="1" max="1" width="7" style="39" bestFit="1" customWidth="1"/>
    <col min="2"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NUMBERS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NUMBERS'!$A$1&amp;"."&amp;TOTAL,REP.lookup,0))-INDEX(DATA!T:T,MATCH(REP.yearsrange&amp;"."&amp;'VISITOR NUMBERS'!$A$1&amp;"."&amp;DV,REP.lookup,0))),INDEX(DATA!T:T,MATCH(REP.yearsrange&amp;"."&amp;'VISITOR NUMBERS'!$A$1&amp;"."&amp;TYPE.userselected,REP.lookup,0)))),0)</f>
        <v>7893.1782262643101</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NUMBERS.TOTAL",REP.data,18,FALSE)</f>
        <v>9472.0991330439301</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3" t="str">
        <f>REP.title1</f>
        <v>STEAM FINAL TREND REPORT FOR 2011-2022</v>
      </c>
      <c r="F6" s="387"/>
      <c r="G6" s="387"/>
      <c r="H6" s="387"/>
      <c r="I6" s="387"/>
      <c r="J6" s="387"/>
      <c r="K6" s="387"/>
      <c r="L6" s="387"/>
      <c r="M6" s="387"/>
      <c r="N6" s="387"/>
      <c r="O6" s="388"/>
      <c r="P6" s="1024" t="str">
        <f>MIN(REP.yearsrange)&amp;" to "&amp;MAX(REP.yearsrange)</f>
        <v>2011 to 2022</v>
      </c>
      <c r="Q6" s="1025"/>
      <c r="R6" s="1026"/>
      <c r="S6" s="929" t="str">
        <f>UPPER(VISTYPE.short)</f>
        <v>TOTAL</v>
      </c>
      <c r="T6" s="930"/>
      <c r="U6" s="1018" t="str">
        <f ca="1">$A$1</f>
        <v>VISITOR NUMBERS</v>
      </c>
      <c r="V6" s="1019"/>
      <c r="W6" s="1019"/>
      <c r="X6" s="1020"/>
    </row>
    <row r="7" spans="1:25" ht="16.2" customHeight="1" thickBot="1" x14ac:dyDescent="0.35">
      <c r="D7" s="112"/>
      <c r="E7" s="374" t="str">
        <f>REP.title2</f>
        <v>CONWY COUNTY BOROUGH COUNCIL</v>
      </c>
      <c r="F7" s="375"/>
      <c r="G7" s="375"/>
      <c r="H7" s="375"/>
      <c r="I7" s="376"/>
      <c r="J7" s="376"/>
      <c r="K7" s="376"/>
      <c r="L7" s="376"/>
      <c r="M7" s="376"/>
      <c r="N7" s="376"/>
      <c r="O7" s="389"/>
      <c r="P7" s="1027"/>
      <c r="Q7" s="1028"/>
      <c r="R7" s="1029"/>
      <c r="S7" s="931"/>
      <c r="T7" s="932"/>
      <c r="U7" s="1021"/>
      <c r="V7" s="1022"/>
      <c r="W7" s="1022"/>
      <c r="X7" s="1023"/>
    </row>
    <row r="8" spans="1:25" ht="16.2" customHeight="1" thickTop="1" thickBot="1" x14ac:dyDescent="0.35">
      <c r="D8" s="112"/>
      <c r="E8" s="867" t="str">
        <f ca="1">$A$1&amp;" BY:"</f>
        <v>VISITOR NUMBERS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NUMBERS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0.17205932950891323</v>
      </c>
      <c r="H13" s="135">
        <f ca="1">IFERROR(INDEX(H$16:H$27,MATCH(MAX(REP.yearsrange),$E$16:$E$27,0))/INDEX(H$16:H$27,MATCH(MIN(REP.yearsrange),$E$16:$E$27,0))-1,"")</f>
        <v>-3.1474025418009477E-2</v>
      </c>
      <c r="I13" s="135">
        <f ca="1">IFERROR(INDEX(I$16:I$27,MATCH(MAX(REP.yearsrange),$E$16:$E$27,0))/INDEX(I$16:I$27,MATCH(MIN(REP.yearsrange),$E$16:$E$27,0))-1,"")</f>
        <v>0.28309008987584039</v>
      </c>
      <c r="J13" s="135">
        <f ca="1">IFERROR(INDEX(J$16:J$27,MATCH(MAX(REP.yearsrange),$E$16:$E$27,0))/INDEX(J$16:J$27,MATCH(MIN(REP.yearsrange),$E$16:$E$27,0))-1,"")</f>
        <v>6.997809780471842E-2</v>
      </c>
      <c r="K13" s="135">
        <f ca="1">IFERROR(INDEX(K$16:K$27,MATCH(MAX(REP.yearsrange),$E$16:$E$27,0))/INDEX(K$16:K$27,MATCH(MIN(REP.yearsrange),$E$16:$E$27,0))-1,"")</f>
        <v>0.21261215891642515</v>
      </c>
      <c r="L13" s="135">
        <f ca="1">IFERROR(INDEX(L$16:L$27,MATCH(MAX(REP.yearsrange),$E$16:$E$27,0))/INDEX(L$16:L$27,MATCH(MIN(REP.yearsrange),$E$16:$E$27,0))-1,"")</f>
        <v>0.25937967826100117</v>
      </c>
      <c r="M13" s="135">
        <f ca="1">IFERROR(INDEX(M$16:M$27,MATCH(MAX(REP.yearsrange),$E$16:$E$27,0))/INDEX(M$16:M$27,MATCH(MIN(REP.yearsrange),$E$16:$E$27,0))-1,"")</f>
        <v>0.40062762042176669</v>
      </c>
      <c r="N13" s="135">
        <f ca="1">IFERROR(INDEX(N$16:N$27,MATCH(MAX(REP.yearsrange),$E$16:$E$27,0))/INDEX(N$16:N$27,MATCH(MIN(REP.yearsrange),$E$16:$E$27,0))-1,"")</f>
        <v>0.27372213524418587</v>
      </c>
      <c r="O13" s="135">
        <f ca="1">IFERROR(INDEX(O$16:O$27,MATCH(MAX(REP.yearsrange),$E$16:$E$27,0))/INDEX(O$16:O$27,MATCH(MIN(REP.yearsrange),$E$16:$E$27,0))-1,"")</f>
        <v>0.13931794179893564</v>
      </c>
      <c r="P13" s="135">
        <f ca="1">IFERROR(INDEX(P$16:P$27,MATCH(MAX(REP.yearsrange),$E$16:$E$27,0))/INDEX(P$16:P$27,MATCH(MIN(REP.yearsrange),$E$16:$E$27,0))-1,"")</f>
        <v>-4.4155432142537032E-2</v>
      </c>
      <c r="Q13" s="135">
        <f ca="1">IFERROR(INDEX(Q$16:Q$27,MATCH(MAX(REP.yearsrange),$E$16:$E$27,0))/INDEX(Q$16:Q$27,MATCH(MIN(REP.yearsrange),$E$16:$E$27,0))-1,"")</f>
        <v>0.31497963206597923</v>
      </c>
      <c r="R13" s="135">
        <f ca="1">IFERROR(INDEX(R$16:R$27,MATCH(MAX(REP.yearsrange),$E$16:$E$27,0))/INDEX(R$16:R$27,MATCH(MIN(REP.yearsrange),$E$16:$E$27,0))-1,"")</f>
        <v>8.173315375849044E-2</v>
      </c>
      <c r="S13" s="135">
        <f ca="1">IFERROR(INDEX(S$16:S$27,MATCH(MAX(REP.yearsrange),$E$16:$E$27,0))/INDEX(S$16:S$27,MATCH(MIN(REP.yearsrange),$E$16:$E$27,0))-1,"")</f>
        <v>0.20003614026170191</v>
      </c>
      <c r="T13" s="997" t="str">
        <f>"Annual"&amp;CHAR(10)&amp;"Change"</f>
        <v>Annual
Change</v>
      </c>
      <c r="U13" s="135">
        <f ca="1">IFERROR(INDEX(U$16:U$27,MATCH(MAX(REP.yearsrange),$E$16:$E$27,0))/INDEX(U$16:U$27,MATCH(MIN(REP.yearsrange),$E$16:$E$27,0))-1,"")</f>
        <v>0.13393482230680065</v>
      </c>
      <c r="V13" s="135">
        <f ca="1">IFERROR(INDEX(V$16:V$27,MATCH(MAX(REP.yearsrange),$E$16:$E$27,0))/INDEX(V$16:V$27,MATCH(MIN(REP.yearsrange),$E$16:$E$27,0))-1,"")</f>
        <v>0.17579733752051308</v>
      </c>
      <c r="W13" s="135">
        <f ca="1">IFERROR(INDEX(W$16:W$27,MATCH(MAX(REP.yearsrange),$E$16:$E$27,0))/INDEX(W$16:W$27,MATCH(MIN(REP.yearsrange),$E$16:$E$27,0))-1,"")</f>
        <v>0.28150764347819757</v>
      </c>
      <c r="X13" s="135">
        <f ca="1">IFERROR(INDEX(X$16:X$27,MATCH(MAX(REP.yearsrange),$E$16:$E$27,0))/INDEX(X$16:X$27,MATCH(MIN(REP.yearsrange),$E$16:$E$27,0))-1,"")</f>
        <v>5.4356962669247721E-2</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4.0119343493956512</v>
      </c>
      <c r="J14" s="135">
        <f ca="1">IFERROR(INDEX(J$16:J$27,MATCH(MAX(REP.yearsrange),$E$16:$E$27,0))/INDEX(J$16:J$27,MATCH(INDEX(REP.yearsrange,COUNT(REP.yearsrange)-1),$E$16:$E$27,0))-1,"")</f>
        <v>0.35658345385467238</v>
      </c>
      <c r="K14" s="135">
        <f ca="1">IFERROR(INDEX(K$16:K$27,MATCH(MAX(REP.yearsrange),$E$16:$E$27,0))/INDEX(K$16:K$27,MATCH(INDEX(REP.yearsrange,COUNT(REP.yearsrange)-1),$E$16:$E$27,0))-1,"")</f>
        <v>0.36215893235177354</v>
      </c>
      <c r="L14" s="135">
        <f ca="1">IFERROR(INDEX(L$16:L$27,MATCH(MAX(REP.yearsrange),$E$16:$E$27,0))/INDEX(L$16:L$27,MATCH(INDEX(REP.yearsrange,COUNT(REP.yearsrange)-1),$E$16:$E$27,0))-1,"")</f>
        <v>0.20383345821890386</v>
      </c>
      <c r="M14" s="135">
        <f ca="1">IFERROR(INDEX(M$16:M$27,MATCH(MAX(REP.yearsrange),$E$16:$E$27,0))/INDEX(M$16:M$27,MATCH(INDEX(REP.yearsrange,COUNT(REP.yearsrange)-1),$E$16:$E$27,0))-1,"")</f>
        <v>7.4604163344921925E-2</v>
      </c>
      <c r="N14" s="135">
        <f ca="1">IFERROR(INDEX(N$16:N$27,MATCH(MAX(REP.yearsrange),$E$16:$E$27,0))/INDEX(N$16:N$27,MATCH(INDEX(REP.yearsrange,COUNT(REP.yearsrange)-1),$E$16:$E$27,0))-1,"")</f>
        <v>-5.6712802425355702E-2</v>
      </c>
      <c r="O14" s="135">
        <f ca="1">IFERROR(INDEX(O$16:O$27,MATCH(MAX(REP.yearsrange),$E$16:$E$27,0))/INDEX(O$16:O$27,MATCH(INDEX(REP.yearsrange,COUNT(REP.yearsrange)-1),$E$16:$E$27,0))-1,"")</f>
        <v>-9.4437962136208808E-2</v>
      </c>
      <c r="P14" s="135">
        <f ca="1">IFERROR(INDEX(P$16:P$27,MATCH(MAX(REP.yearsrange),$E$16:$E$27,0))/INDEX(P$16:P$27,MATCH(INDEX(REP.yearsrange,COUNT(REP.yearsrange)-1),$E$16:$E$27,0))-1,"")</f>
        <v>-4.0026785094348205E-2</v>
      </c>
      <c r="Q14" s="135">
        <f ca="1">IFERROR(INDEX(Q$16:Q$27,MATCH(MAX(REP.yearsrange),$E$16:$E$27,0))/INDEX(Q$16:Q$27,MATCH(INDEX(REP.yearsrange,COUNT(REP.yearsrange)-1),$E$16:$E$27,0))-1,"")</f>
        <v>0.13568285959858684</v>
      </c>
      <c r="R14" s="135">
        <f ca="1">IFERROR(INDEX(R$16:R$27,MATCH(MAX(REP.yearsrange),$E$16:$E$27,0))/INDEX(R$16:R$27,MATCH(INDEX(REP.yearsrange,COUNT(REP.yearsrange)-1),$E$16:$E$27,0))-1,"")</f>
        <v>0.12138398713113419</v>
      </c>
      <c r="S14" s="135">
        <f ca="1">IFERROR(INDEX(S$16:S$27,MATCH(MAX(REP.yearsrange),$E$16:$E$27,0))/INDEX(S$16:S$27,MATCH(INDEX(REP.yearsrange,COUNT(REP.yearsrange)-1),$E$16:$E$27,0))-1,"")</f>
        <v>0.20263767642083375</v>
      </c>
      <c r="T14" s="997"/>
      <c r="U14" s="135">
        <f ca="1">IFERROR(INDEX(U$16:U$27,MATCH(MAX(REP.yearsrange),$E$16:$E$27,0))/INDEX(U$16:U$27,MATCH(INDEX(REP.yearsrange,COUNT(REP.yearsrange)-1),$E$16:$E$27,0))-1,"")</f>
        <v>9.5485624901194637</v>
      </c>
      <c r="V14" s="135">
        <f ca="1">IFERROR(INDEX(V$16:V$27,MATCH(MAX(REP.yearsrange),$E$16:$E$27,0))/INDEX(V$16:V$27,MATCH(INDEX(REP.yearsrange,COUNT(REP.yearsrange)-1),$E$16:$E$27,0))-1,"")</f>
        <v>0.30123145769450876</v>
      </c>
      <c r="W14" s="135">
        <f ca="1">IFERROR(INDEX(W$16:W$27,MATCH(MAX(REP.yearsrange),$E$16:$E$27,0))/INDEX(W$16:W$27,MATCH(INDEX(REP.yearsrange,COUNT(REP.yearsrange)-1),$E$16:$E$27,0))-1,"")</f>
        <v>-2.304227978522011E-2</v>
      </c>
      <c r="X14" s="135">
        <f ca="1">IFERROR(INDEX(X$16:X$27,MATCH(MAX(REP.yearsrange),$E$16:$E$27,0))/INDEX(X$16:X$27,MATCH(INDEX(REP.yearsrange,COUNT(REP.yearsrange)-1),$E$16:$E$27,0))-1,"")</f>
        <v>2.550908798483098E-2</v>
      </c>
    </row>
    <row r="15" spans="1:25" ht="16.2" customHeight="1" thickTop="1" thickBot="1" x14ac:dyDescent="0.35">
      <c r="D15" s="112"/>
      <c r="E15" s="996" t="s">
        <v>116</v>
      </c>
      <c r="F15" s="996"/>
      <c r="G15" s="135">
        <f ca="1">IFERROR(G13/(MAX(REP.yearsrange)-MIN(REP.yearsrange)),"")</f>
        <v>1.564175722808302E-2</v>
      </c>
      <c r="H15" s="135">
        <f ca="1">IFERROR(H13/(MAX(REP.yearsrange)-MIN(REP.yearsrange)),"")</f>
        <v>-2.8612750380008615E-3</v>
      </c>
      <c r="I15" s="135">
        <f ca="1">IFERROR(I13/(MAX(REP.yearsrange)-MIN(REP.yearsrange)),"")</f>
        <v>2.573546271598549E-2</v>
      </c>
      <c r="J15" s="135">
        <f ca="1">IFERROR(J13/(MAX(REP.yearsrange)-MIN(REP.yearsrange)),"")</f>
        <v>6.3616452549744018E-3</v>
      </c>
      <c r="K15" s="135">
        <f ca="1">IFERROR(K13/(MAX(REP.yearsrange)-MIN(REP.yearsrange)),"")</f>
        <v>1.9328378083311379E-2</v>
      </c>
      <c r="L15" s="135">
        <f ca="1">IFERROR(L13/(MAX(REP.yearsrange)-MIN(REP.yearsrange)),"")</f>
        <v>2.3579970751000105E-2</v>
      </c>
      <c r="M15" s="135">
        <f ca="1">IFERROR(M13/(MAX(REP.yearsrange)-MIN(REP.yearsrange)),"")</f>
        <v>3.6420692765615152E-2</v>
      </c>
      <c r="N15" s="135">
        <f ca="1">IFERROR(N13/(MAX(REP.yearsrange)-MIN(REP.yearsrange)),"")</f>
        <v>2.4883830476744171E-2</v>
      </c>
      <c r="O15" s="135">
        <f ca="1">IFERROR(O13/(MAX(REP.yearsrange)-MIN(REP.yearsrange)),"")</f>
        <v>1.2665267436266876E-2</v>
      </c>
      <c r="P15" s="135">
        <f ca="1">IFERROR(P13/(MAX(REP.yearsrange)-MIN(REP.yearsrange)),"")</f>
        <v>-4.014130194776094E-3</v>
      </c>
      <c r="Q15" s="135">
        <f ca="1">IFERROR(Q13/(MAX(REP.yearsrange)-MIN(REP.yearsrange)),"")</f>
        <v>2.8634512005998113E-2</v>
      </c>
      <c r="R15" s="135">
        <f ca="1">IFERROR(R13/(MAX(REP.yearsrange)-MIN(REP.yearsrange)),"")</f>
        <v>7.4302867053173127E-3</v>
      </c>
      <c r="S15" s="135">
        <f ca="1">IFERROR(S13/(MAX(REP.yearsrange)-MIN(REP.yearsrange)),"")</f>
        <v>1.818510366015472E-2</v>
      </c>
      <c r="T15" s="997"/>
      <c r="U15" s="135">
        <f ca="1">IFERROR(U13/(MAX(REP.yearsrange)-MIN(REP.yearsrange)),"")</f>
        <v>1.2175892936981876E-2</v>
      </c>
      <c r="V15" s="135">
        <f ca="1">IFERROR(V13/(MAX(REP.yearsrange)-MIN(REP.yearsrange)),"")</f>
        <v>1.5981576138228461E-2</v>
      </c>
      <c r="W15" s="135">
        <f ca="1">IFERROR(W13/(MAX(REP.yearsrange)-MIN(REP.yearsrange)),"")</f>
        <v>2.5591603952563415E-2</v>
      </c>
      <c r="X15" s="135">
        <f ca="1">IFERROR(X13/(MAX(REP.yearsrange)-MIN(REP.yearsrange)),"")</f>
        <v>4.9415420608407016E-3</v>
      </c>
    </row>
    <row r="16" spans="1:25" ht="16.2" customHeight="1" thickTop="1" thickBot="1" x14ac:dyDescent="0.35">
      <c r="D16" s="112"/>
      <c r="E16" s="193">
        <f t="array" ref="E16:E27">INDEX(REP.yearsrange,REP.yearnos)</f>
        <v>2011</v>
      </c>
      <c r="F16" s="194" t="str">
        <f ca="1">IF($A$2=1,"000s",IF(A2=1000,"M","Bn"))</f>
        <v>M</v>
      </c>
      <c r="G16" s="596">
        <f t="array" aca="1" ref="G16:G27" ca="1">TN.MONTHLYDATA</f>
        <v>0.14877872566085817</v>
      </c>
      <c r="H16" s="596">
        <f t="array" aca="1" ref="H16:H27" ca="1">TN.MONTHLYDATA</f>
        <v>0.3783553636717038</v>
      </c>
      <c r="I16" s="596">
        <f t="array" aca="1" ref="I16:I27" ca="1">TN.MONTHLYDATA</f>
        <v>0.38155681703374683</v>
      </c>
      <c r="J16" s="597">
        <f t="array" aca="1" ref="J16:J27" ca="1">TN.MONTHLYDATA</f>
        <v>0.98562678502408008</v>
      </c>
      <c r="K16" s="597">
        <f t="array" aca="1" ref="K16:K27" ca="1">TN.MONTHLYDATA</f>
        <v>0.84864283130118456</v>
      </c>
      <c r="L16" s="597">
        <f t="array" aca="1" ref="L16:L27" ca="1">TN.MONTHLYDATA</f>
        <v>0.87405595636911482</v>
      </c>
      <c r="M16" s="598">
        <f t="array" aca="1" ref="M16:M27" ca="1">TN.MONTHLYDATA</f>
        <v>1.0804523075243597</v>
      </c>
      <c r="N16" s="598">
        <f t="array" aca="1" ref="N16:N27" ca="1">TN.MONTHLYDATA</f>
        <v>1.3861670005725915</v>
      </c>
      <c r="O16" s="598">
        <f t="array" aca="1" ref="O16:O27" ca="1">TN.MONTHLYDATA</f>
        <v>0.82925442540296257</v>
      </c>
      <c r="P16" s="599">
        <f t="array" aca="1" ref="P16:P27" ca="1">TN.MONTHLYDATA</f>
        <v>0.62408394744556539</v>
      </c>
      <c r="Q16" s="599">
        <f t="array" aca="1" ref="Q16:Q27" ca="1">TN.MONTHLYDATA</f>
        <v>0.22177609718768321</v>
      </c>
      <c r="R16" s="599">
        <f t="array" aca="1" ref="R16:R27" ca="1">TN.MONTHLYDATA</f>
        <v>0.13442796907045909</v>
      </c>
      <c r="S16" s="600">
        <f t="array" aca="1" ref="S16:S27" ca="1">TN.MONTHLYDATA</f>
        <v>7.8931782262643102</v>
      </c>
      <c r="T16" s="997"/>
      <c r="U16" s="596">
        <f ca="1">IF(SUM(G16:I16)=0,"",SUM(G16:I16))</f>
        <v>0.90869090636630889</v>
      </c>
      <c r="V16" s="597">
        <f ca="1">IF(SUM(J16:L16)=0,"",SUM(J16:L16))</f>
        <v>2.7083255726943793</v>
      </c>
      <c r="W16" s="598">
        <f ca="1">IF(SUM(M16:O16)=0,"",SUM(M16:O16))</f>
        <v>3.2958737334999135</v>
      </c>
      <c r="X16" s="599">
        <f ca="1">IF(SUM(P16:R16)=0,"",SUM(P16:R16))</f>
        <v>0.98028801370370766</v>
      </c>
      <c r="Y16" s="73"/>
    </row>
    <row r="17" spans="4:24" ht="16.2" customHeight="1" thickTop="1" thickBot="1" x14ac:dyDescent="0.35">
      <c r="D17" s="112"/>
      <c r="E17" s="193">
        <v>2012</v>
      </c>
      <c r="F17" s="194" t="str">
        <f ca="1">$F$16</f>
        <v>M</v>
      </c>
      <c r="G17" s="596">
        <f ca="1"/>
        <v>0.13458545918071046</v>
      </c>
      <c r="H17" s="596">
        <f ca="1"/>
        <v>0.3980853856748563</v>
      </c>
      <c r="I17" s="596">
        <f ca="1"/>
        <v>0.46509438578162748</v>
      </c>
      <c r="J17" s="597">
        <f ca="1"/>
        <v>0.91111777176739217</v>
      </c>
      <c r="K17" s="597">
        <f ca="1"/>
        <v>0.88177887927620313</v>
      </c>
      <c r="L17" s="597">
        <f ca="1"/>
        <v>0.84063761896545797</v>
      </c>
      <c r="M17" s="598">
        <f ca="1"/>
        <v>1.1459405683730952</v>
      </c>
      <c r="N17" s="598">
        <f ca="1"/>
        <v>1.3392617249002976</v>
      </c>
      <c r="O17" s="598">
        <f ca="1"/>
        <v>0.87770484428152951</v>
      </c>
      <c r="P17" s="599">
        <f ca="1"/>
        <v>0.58371022064002387</v>
      </c>
      <c r="Q17" s="599">
        <f ca="1"/>
        <v>0.25614025960397224</v>
      </c>
      <c r="R17" s="599">
        <f ca="1"/>
        <v>0.14323447793176602</v>
      </c>
      <c r="S17" s="600">
        <f ca="1"/>
        <v>7.9772915963769329</v>
      </c>
      <c r="T17" s="195">
        <f ca="1">IFERROR(IF(S17&lt;&gt;0,S17/S16-1,""),"")</f>
        <v>1.0656464063200533E-2</v>
      </c>
      <c r="U17" s="596">
        <f t="shared" ref="U17:U27" ca="1" si="0">IF(SUM(G17:I17)=0,"",SUM(G17:I17))</f>
        <v>0.99776523063719424</v>
      </c>
      <c r="V17" s="597">
        <f t="shared" ref="V17:V27" ca="1" si="1">IF(SUM(J17:L17)=0,"",SUM(J17:L17))</f>
        <v>2.6335342700090534</v>
      </c>
      <c r="W17" s="598">
        <f t="shared" ref="W17:W27" ca="1" si="2">IF(SUM(M17:O17)=0,"",SUM(M17:O17))</f>
        <v>3.3629071375549224</v>
      </c>
      <c r="X17" s="599">
        <f t="shared" ref="X17:X27" ca="1" si="3">IF(SUM(P17:R17)=0,"",SUM(P17:R17))</f>
        <v>0.98308495817576214</v>
      </c>
    </row>
    <row r="18" spans="4:24" ht="16.2" customHeight="1" thickTop="1" thickBot="1" x14ac:dyDescent="0.35">
      <c r="D18" s="112"/>
      <c r="E18" s="193">
        <v>2013</v>
      </c>
      <c r="F18" s="194" t="str">
        <f t="shared" ref="F18:F27" ca="1" si="4">$F$16</f>
        <v>M</v>
      </c>
      <c r="G18" s="596">
        <f ca="1"/>
        <v>0.13681514194551628</v>
      </c>
      <c r="H18" s="596">
        <f ca="1"/>
        <v>0.37329076213259416</v>
      </c>
      <c r="I18" s="596">
        <f ca="1"/>
        <v>0.44208885638242496</v>
      </c>
      <c r="J18" s="597">
        <f ca="1"/>
        <v>0.85113079307139405</v>
      </c>
      <c r="K18" s="597">
        <f ca="1"/>
        <v>1.15668796326802</v>
      </c>
      <c r="L18" s="597">
        <f ca="1"/>
        <v>0.89427285695937353</v>
      </c>
      <c r="M18" s="598">
        <f ca="1"/>
        <v>1.3107424950942679</v>
      </c>
      <c r="N18" s="598">
        <f ca="1"/>
        <v>1.507220519198039</v>
      </c>
      <c r="O18" s="598">
        <f ca="1"/>
        <v>0.85737430427863393</v>
      </c>
      <c r="P18" s="599">
        <f ca="1"/>
        <v>0.53840027698342097</v>
      </c>
      <c r="Q18" s="599">
        <f ca="1"/>
        <v>0.26699825143885653</v>
      </c>
      <c r="R18" s="599">
        <f ca="1"/>
        <v>0.14120374794245361</v>
      </c>
      <c r="S18" s="600">
        <f ca="1"/>
        <v>8.4762259686949939</v>
      </c>
      <c r="T18" s="195">
        <f t="shared" ref="T18:T27" ca="1" si="5">IFERROR(IF(S18&lt;&gt;0,S18/S17-1,""),"")</f>
        <v>6.2544331781060114E-2</v>
      </c>
      <c r="U18" s="596">
        <f t="shared" ca="1" si="0"/>
        <v>0.95219476046053542</v>
      </c>
      <c r="V18" s="597">
        <f t="shared" ca="1" si="1"/>
        <v>2.9020916132987877</v>
      </c>
      <c r="W18" s="598">
        <f t="shared" ca="1" si="2"/>
        <v>3.6753373185709406</v>
      </c>
      <c r="X18" s="599">
        <f t="shared" ca="1" si="3"/>
        <v>0.94660227636473115</v>
      </c>
    </row>
    <row r="19" spans="4:24" ht="16.2" customHeight="1" thickTop="1" thickBot="1" x14ac:dyDescent="0.35">
      <c r="D19" s="112"/>
      <c r="E19" s="193">
        <v>2014</v>
      </c>
      <c r="F19" s="194" t="str">
        <f t="shared" ca="1" si="4"/>
        <v>M</v>
      </c>
      <c r="G19" s="596">
        <f ca="1"/>
        <v>0.15131082865760367</v>
      </c>
      <c r="H19" s="596">
        <f ca="1"/>
        <v>0.38149084644583658</v>
      </c>
      <c r="I19" s="596">
        <f ca="1"/>
        <v>0.46514103547857916</v>
      </c>
      <c r="J19" s="597">
        <f ca="1"/>
        <v>0.9814149968344098</v>
      </c>
      <c r="K19" s="597">
        <f ca="1"/>
        <v>1.1335456238260699</v>
      </c>
      <c r="L19" s="597">
        <f ca="1"/>
        <v>0.88768799845607604</v>
      </c>
      <c r="M19" s="598">
        <f ca="1"/>
        <v>1.2998690743225023</v>
      </c>
      <c r="N19" s="598">
        <f ca="1"/>
        <v>1.6133534375305747</v>
      </c>
      <c r="O19" s="598">
        <f ca="1"/>
        <v>0.92294266351888266</v>
      </c>
      <c r="P19" s="599">
        <f ca="1"/>
        <v>0.57069624506044103</v>
      </c>
      <c r="Q19" s="599">
        <f ca="1"/>
        <v>0.26142479154434495</v>
      </c>
      <c r="R19" s="599">
        <f ca="1"/>
        <v>0.12831707910982829</v>
      </c>
      <c r="S19" s="600">
        <f ca="1"/>
        <v>8.7971946207851488</v>
      </c>
      <c r="T19" s="195">
        <f t="shared" ca="1" si="5"/>
        <v>3.7866929607065725E-2</v>
      </c>
      <c r="U19" s="596">
        <f t="shared" ca="1" si="0"/>
        <v>0.99794271058201933</v>
      </c>
      <c r="V19" s="597">
        <f t="shared" ca="1" si="1"/>
        <v>3.002648619116556</v>
      </c>
      <c r="W19" s="598">
        <f t="shared" ca="1" si="2"/>
        <v>3.8361651753719599</v>
      </c>
      <c r="X19" s="599">
        <f t="shared" ca="1" si="3"/>
        <v>0.96043811571461424</v>
      </c>
    </row>
    <row r="20" spans="4:24" ht="16.2" customHeight="1" thickTop="1" thickBot="1" x14ac:dyDescent="0.35">
      <c r="D20" s="112"/>
      <c r="E20" s="193">
        <v>2015</v>
      </c>
      <c r="F20" s="194" t="str">
        <f t="shared" ca="1" si="4"/>
        <v>M</v>
      </c>
      <c r="G20" s="596">
        <f ca="1"/>
        <v>0.1550296994399176</v>
      </c>
      <c r="H20" s="596">
        <f ca="1"/>
        <v>0.41241560345559752</v>
      </c>
      <c r="I20" s="596">
        <f ca="1"/>
        <v>0.48161732190901763</v>
      </c>
      <c r="J20" s="597">
        <f ca="1"/>
        <v>1.0191393430144204</v>
      </c>
      <c r="K20" s="597">
        <f ca="1"/>
        <v>1.1878739650205061</v>
      </c>
      <c r="L20" s="597">
        <f ca="1"/>
        <v>0.92724409922696338</v>
      </c>
      <c r="M20" s="598">
        <f ca="1"/>
        <v>1.418051397911259</v>
      </c>
      <c r="N20" s="598">
        <f ca="1"/>
        <v>1.7134168083982038</v>
      </c>
      <c r="O20" s="598">
        <f ca="1"/>
        <v>0.97840318958493022</v>
      </c>
      <c r="P20" s="599">
        <f ca="1"/>
        <v>0.59905981794616658</v>
      </c>
      <c r="Q20" s="599">
        <f ca="1"/>
        <v>0.26731505976902353</v>
      </c>
      <c r="R20" s="599">
        <f ca="1"/>
        <v>0.12856055728242854</v>
      </c>
      <c r="S20" s="600">
        <f ca="1"/>
        <v>9.2881268629584355</v>
      </c>
      <c r="T20" s="195">
        <f t="shared" ca="1" si="5"/>
        <v>5.5805545214762109E-2</v>
      </c>
      <c r="U20" s="596">
        <f t="shared" ca="1" si="0"/>
        <v>1.0490626248045327</v>
      </c>
      <c r="V20" s="597">
        <f t="shared" ca="1" si="1"/>
        <v>3.1342574072618898</v>
      </c>
      <c r="W20" s="598">
        <f t="shared" ca="1" si="2"/>
        <v>4.1098713958943929</v>
      </c>
      <c r="X20" s="599">
        <f t="shared" ca="1" si="3"/>
        <v>0.99493543499761861</v>
      </c>
    </row>
    <row r="21" spans="4:24" ht="16.2" customHeight="1" thickTop="1" thickBot="1" x14ac:dyDescent="0.35">
      <c r="D21" s="112"/>
      <c r="E21" s="193">
        <v>2016</v>
      </c>
      <c r="F21" s="194" t="str">
        <f t="shared" ca="1" si="4"/>
        <v>M</v>
      </c>
      <c r="G21" s="596">
        <f ca="1"/>
        <v>0.16517497038312823</v>
      </c>
      <c r="H21" s="596">
        <f ca="1"/>
        <v>0.39830987806584167</v>
      </c>
      <c r="I21" s="596">
        <f ca="1"/>
        <v>0.55637941531147905</v>
      </c>
      <c r="J21" s="597">
        <f ca="1"/>
        <v>0.87856287656237075</v>
      </c>
      <c r="K21" s="597">
        <f ca="1"/>
        <v>1.0655000695230885</v>
      </c>
      <c r="L21" s="597">
        <f ca="1"/>
        <v>0.99790704441124556</v>
      </c>
      <c r="M21" s="598">
        <f ca="1"/>
        <v>1.3796676151507408</v>
      </c>
      <c r="N21" s="598">
        <f ca="1"/>
        <v>1.7494300044942857</v>
      </c>
      <c r="O21" s="598">
        <f ca="1"/>
        <v>0.97609798332245057</v>
      </c>
      <c r="P21" s="599">
        <f ca="1"/>
        <v>0.58352619159444385</v>
      </c>
      <c r="Q21" s="599">
        <f ca="1"/>
        <v>0.27144249361991318</v>
      </c>
      <c r="R21" s="599">
        <f ca="1"/>
        <v>0.16087245505671943</v>
      </c>
      <c r="S21" s="600">
        <f ca="1"/>
        <v>9.1828709974957086</v>
      </c>
      <c r="T21" s="195">
        <f t="shared" ca="1" si="5"/>
        <v>-1.1332302736140831E-2</v>
      </c>
      <c r="U21" s="596">
        <f t="shared" ca="1" si="0"/>
        <v>1.1198642637604488</v>
      </c>
      <c r="V21" s="597">
        <f t="shared" ca="1" si="1"/>
        <v>2.9419699904967049</v>
      </c>
      <c r="W21" s="598">
        <f t="shared" ca="1" si="2"/>
        <v>4.105195602967477</v>
      </c>
      <c r="X21" s="599">
        <f t="shared" ca="1" si="3"/>
        <v>1.0158411402710765</v>
      </c>
    </row>
    <row r="22" spans="4:24" ht="16.2" customHeight="1" thickTop="1" thickBot="1" x14ac:dyDescent="0.35">
      <c r="D22" s="112"/>
      <c r="E22" s="193">
        <v>2017</v>
      </c>
      <c r="F22" s="194" t="str">
        <f t="shared" ca="1" si="4"/>
        <v>M</v>
      </c>
      <c r="G22" s="596">
        <f ca="1"/>
        <v>0.17753976847354089</v>
      </c>
      <c r="H22" s="596">
        <f ca="1"/>
        <v>0.42377754464018541</v>
      </c>
      <c r="I22" s="596">
        <f ca="1"/>
        <v>0.44138870115475831</v>
      </c>
      <c r="J22" s="597">
        <f ca="1"/>
        <v>1.0997312193644948</v>
      </c>
      <c r="K22" s="597">
        <f ca="1"/>
        <v>1.0791794802248031</v>
      </c>
      <c r="L22" s="597">
        <f ca="1"/>
        <v>0.97488321948258339</v>
      </c>
      <c r="M22" s="598">
        <f ca="1"/>
        <v>1.4199517096242344</v>
      </c>
      <c r="N22" s="598">
        <f ca="1"/>
        <v>1.7012888303884319</v>
      </c>
      <c r="O22" s="598">
        <f ca="1"/>
        <v>0.98408381175554993</v>
      </c>
      <c r="P22" s="599">
        <f ca="1"/>
        <v>0.54825336117277534</v>
      </c>
      <c r="Q22" s="599">
        <f ca="1"/>
        <v>0.29238672921803971</v>
      </c>
      <c r="R22" s="599">
        <f ca="1"/>
        <v>0.14719879053919105</v>
      </c>
      <c r="S22" s="600">
        <f ca="1"/>
        <v>9.2896631660385882</v>
      </c>
      <c r="T22" s="195">
        <f t="shared" ca="1" si="5"/>
        <v>1.1629496763267522E-2</v>
      </c>
      <c r="U22" s="596">
        <f t="shared" ca="1" si="0"/>
        <v>1.0427060142684845</v>
      </c>
      <c r="V22" s="597">
        <f t="shared" ca="1" si="1"/>
        <v>3.1537939190718811</v>
      </c>
      <c r="W22" s="598">
        <f t="shared" ca="1" si="2"/>
        <v>4.1053243517682159</v>
      </c>
      <c r="X22" s="599">
        <f t="shared" ca="1" si="3"/>
        <v>0.98783888093000616</v>
      </c>
    </row>
    <row r="23" spans="4:24" ht="16.2" customHeight="1" thickTop="1" thickBot="1" x14ac:dyDescent="0.35">
      <c r="D23" s="112"/>
      <c r="E23" s="193">
        <v>2018</v>
      </c>
      <c r="F23" s="194" t="str">
        <f t="shared" ca="1" si="4"/>
        <v>M</v>
      </c>
      <c r="G23" s="596">
        <f ca="1"/>
        <v>0.17232862890973263</v>
      </c>
      <c r="H23" s="596">
        <f ca="1"/>
        <v>0.45574291889772733</v>
      </c>
      <c r="I23" s="596">
        <f ca="1"/>
        <v>0.44608869410489854</v>
      </c>
      <c r="J23" s="597">
        <f ca="1"/>
        <v>0.99532309248603423</v>
      </c>
      <c r="K23" s="597">
        <f ca="1"/>
        <v>1.1120188781637455</v>
      </c>
      <c r="L23" s="597">
        <f ca="1"/>
        <v>1.1088352713681109</v>
      </c>
      <c r="M23" s="598">
        <f ca="1"/>
        <v>1.4273574070632544</v>
      </c>
      <c r="N23" s="598">
        <f ca="1"/>
        <v>1.6582485172431556</v>
      </c>
      <c r="O23" s="598">
        <f ca="1"/>
        <v>1.0323547768225982</v>
      </c>
      <c r="P23" s="599">
        <f ca="1"/>
        <v>0.58343150987438164</v>
      </c>
      <c r="Q23" s="599">
        <f ca="1"/>
        <v>0.29593270951613959</v>
      </c>
      <c r="R23" s="599">
        <f ca="1"/>
        <v>0.15377132334031113</v>
      </c>
      <c r="S23" s="600">
        <f ca="1"/>
        <v>9.4414337277900877</v>
      </c>
      <c r="T23" s="195">
        <f t="shared" ca="1" si="5"/>
        <v>1.633757425202953E-2</v>
      </c>
      <c r="U23" s="596">
        <f t="shared" ca="1" si="0"/>
        <v>1.0741602419123586</v>
      </c>
      <c r="V23" s="597">
        <f t="shared" ca="1" si="1"/>
        <v>3.2161772420178902</v>
      </c>
      <c r="W23" s="598">
        <f t="shared" ca="1" si="2"/>
        <v>4.1179607011290082</v>
      </c>
      <c r="X23" s="599">
        <f t="shared" ca="1" si="3"/>
        <v>1.0331355427308324</v>
      </c>
    </row>
    <row r="24" spans="4:24" ht="16.2" customHeight="1" thickTop="1" thickBot="1" x14ac:dyDescent="0.35">
      <c r="D24" s="112"/>
      <c r="E24" s="193">
        <v>2019</v>
      </c>
      <c r="F24" s="194" t="str">
        <f t="shared" ca="1" si="4"/>
        <v>M</v>
      </c>
      <c r="G24" s="596">
        <f ca="1"/>
        <v>0.21398260564536639</v>
      </c>
      <c r="H24" s="596">
        <f ca="1"/>
        <v>0.49286209667896969</v>
      </c>
      <c r="I24" s="596">
        <f ca="1"/>
        <v>0.45243699417482802</v>
      </c>
      <c r="J24" s="597">
        <f ca="1"/>
        <v>1.1054579756571199</v>
      </c>
      <c r="K24" s="597">
        <f ca="1"/>
        <v>1.1312277864535487</v>
      </c>
      <c r="L24" s="597">
        <f ca="1"/>
        <v>1.049567682521553</v>
      </c>
      <c r="M24" s="598">
        <f ca="1"/>
        <v>1.4625931848279081</v>
      </c>
      <c r="N24" s="598">
        <f ca="1"/>
        <v>1.7652261633868565</v>
      </c>
      <c r="O24" s="598">
        <f ca="1"/>
        <v>1.0251293643620254</v>
      </c>
      <c r="P24" s="599">
        <f ca="1"/>
        <v>0.61417666746179567</v>
      </c>
      <c r="Q24" s="599">
        <f ca="1"/>
        <v>0.31987125882071843</v>
      </c>
      <c r="R24" s="599">
        <f ca="1"/>
        <v>0.15915429656946056</v>
      </c>
      <c r="S24" s="600">
        <f ca="1"/>
        <v>9.7916860765601506</v>
      </c>
      <c r="T24" s="195">
        <f t="shared" ca="1" si="5"/>
        <v>3.7097368775583783E-2</v>
      </c>
      <c r="U24" s="596">
        <f t="shared" ca="1" si="0"/>
        <v>1.1592816964991641</v>
      </c>
      <c r="V24" s="597">
        <f t="shared" ca="1" si="1"/>
        <v>3.2862534446322211</v>
      </c>
      <c r="W24" s="598">
        <f t="shared" ca="1" si="2"/>
        <v>4.2529487125767904</v>
      </c>
      <c r="X24" s="599">
        <f t="shared" ca="1" si="3"/>
        <v>1.0932022228519747</v>
      </c>
    </row>
    <row r="25" spans="4:24" ht="16.2" customHeight="1" thickTop="1" thickBot="1" x14ac:dyDescent="0.35">
      <c r="D25" s="112"/>
      <c r="E25" s="193">
        <v>2020</v>
      </c>
      <c r="F25" s="194" t="str">
        <f t="shared" ca="1" si="4"/>
        <v>M</v>
      </c>
      <c r="G25" s="596">
        <f ca="1"/>
        <v>0.21214147119428323</v>
      </c>
      <c r="H25" s="596">
        <f ca="1"/>
        <v>0.50029953814629502</v>
      </c>
      <c r="I25" s="596">
        <f ca="1"/>
        <v>0.31350949876670497</v>
      </c>
      <c r="J25" s="597">
        <f ca="1"/>
        <v>5.2018784408773477E-3</v>
      </c>
      <c r="K25" s="597">
        <f ca="1"/>
        <v>6.9835785641729192E-3</v>
      </c>
      <c r="L25" s="597">
        <f ca="1"/>
        <v>1.3644059383232784E-2</v>
      </c>
      <c r="M25" s="598">
        <f ca="1"/>
        <v>0.46273121823372915</v>
      </c>
      <c r="N25" s="598">
        <f ca="1"/>
        <v>1.0822890767053863</v>
      </c>
      <c r="O25" s="598">
        <f ca="1"/>
        <v>0.7508866106793346</v>
      </c>
      <c r="P25" s="599">
        <f ca="1"/>
        <v>1.3995390137748732E-2</v>
      </c>
      <c r="Q25" s="599">
        <f ca="1"/>
        <v>0.10421007526053298</v>
      </c>
      <c r="R25" s="599">
        <f ca="1"/>
        <v>3.4663199383240334E-2</v>
      </c>
      <c r="S25" s="600">
        <f ca="1"/>
        <v>3.5005555948955389</v>
      </c>
      <c r="T25" s="195">
        <f t="shared" ca="1" si="5"/>
        <v>-0.64249715855624179</v>
      </c>
      <c r="U25" s="596">
        <f t="shared" ca="1" si="0"/>
        <v>1.0259505081072833</v>
      </c>
      <c r="V25" s="597">
        <f t="shared" ca="1" si="1"/>
        <v>2.5829516388283048E-2</v>
      </c>
      <c r="W25" s="598">
        <f t="shared" ca="1" si="2"/>
        <v>2.29590690561845</v>
      </c>
      <c r="X25" s="599">
        <f t="shared" ca="1" si="3"/>
        <v>0.15286866478152206</v>
      </c>
    </row>
    <row r="26" spans="4:24" ht="16.2" customHeight="1" thickTop="1" thickBot="1" x14ac:dyDescent="0.35">
      <c r="D26" s="112"/>
      <c r="E26" s="193">
        <v>2021</v>
      </c>
      <c r="F26" s="194" t="str">
        <f t="shared" ca="1" si="4"/>
        <v>M</v>
      </c>
      <c r="G26" s="596">
        <f ca="1"/>
        <v>0</v>
      </c>
      <c r="H26" s="596">
        <f ca="1"/>
        <v>0</v>
      </c>
      <c r="I26" s="596">
        <f ca="1"/>
        <v>9.7681201813747495E-2</v>
      </c>
      <c r="J26" s="597">
        <f ca="1"/>
        <v>0.77739343612724177</v>
      </c>
      <c r="K26" s="597">
        <f ca="1"/>
        <v>0.75547323544424805</v>
      </c>
      <c r="L26" s="597">
        <f ca="1"/>
        <v>0.9143858742245432</v>
      </c>
      <c r="M26" s="598">
        <f ca="1"/>
        <v>1.4082500292540876</v>
      </c>
      <c r="N26" s="598">
        <f ca="1"/>
        <v>1.8717434057347468</v>
      </c>
      <c r="O26" s="598">
        <f ca="1"/>
        <v>1.0433127777821785</v>
      </c>
      <c r="P26" s="599">
        <f ca="1"/>
        <v>0.62139989094540937</v>
      </c>
      <c r="Q26" s="599">
        <f ca="1"/>
        <v>0.25678916276324454</v>
      </c>
      <c r="R26" s="599">
        <f ca="1"/>
        <v>0.12967475245295412</v>
      </c>
      <c r="S26" s="600">
        <f ca="1"/>
        <v>7.8761037665424007</v>
      </c>
      <c r="T26" s="195">
        <f t="shared" ca="1" si="5"/>
        <v>1.249958200357459</v>
      </c>
      <c r="U26" s="596">
        <f t="shared" ca="1" si="0"/>
        <v>9.7681201813747495E-2</v>
      </c>
      <c r="V26" s="597">
        <f t="shared" ca="1" si="1"/>
        <v>2.447252545796033</v>
      </c>
      <c r="W26" s="598">
        <f t="shared" ca="1" si="2"/>
        <v>4.3233062127710129</v>
      </c>
      <c r="X26" s="599">
        <f t="shared" ca="1" si="3"/>
        <v>1.0078638061616081</v>
      </c>
    </row>
    <row r="27" spans="4:24" ht="16.2" customHeight="1" thickTop="1" thickBot="1" x14ac:dyDescent="0.35">
      <c r="D27" s="112"/>
      <c r="E27" s="193">
        <v>2022</v>
      </c>
      <c r="F27" s="194" t="str">
        <f t="shared" ca="1" si="4"/>
        <v>M</v>
      </c>
      <c r="G27" s="596">
        <f ca="1"/>
        <v>0.17437749344325598</v>
      </c>
      <c r="H27" s="596">
        <f ca="1"/>
        <v>0.36644699733846037</v>
      </c>
      <c r="I27" s="596">
        <f ca="1"/>
        <v>0.48957177066056984</v>
      </c>
      <c r="J27" s="597">
        <f ca="1"/>
        <v>1.0545990725854453</v>
      </c>
      <c r="K27" s="597">
        <f ca="1"/>
        <v>1.029074615813077</v>
      </c>
      <c r="L27" s="597">
        <f ca="1"/>
        <v>1.1007683091142475</v>
      </c>
      <c r="M27" s="598">
        <f ca="1"/>
        <v>1.5133113444670507</v>
      </c>
      <c r="N27" s="598">
        <f ca="1"/>
        <v>1.7655915917743497</v>
      </c>
      <c r="O27" s="598">
        <f ca="1"/>
        <v>0.94478444517776228</v>
      </c>
      <c r="P27" s="599">
        <f ca="1"/>
        <v>0.59652725105288606</v>
      </c>
      <c r="Q27" s="599">
        <f ca="1"/>
        <v>0.29163105068088852</v>
      </c>
      <c r="R27" s="599">
        <f ca="1"/>
        <v>0.14541519093593652</v>
      </c>
      <c r="S27" s="600">
        <f ca="1"/>
        <v>9.4720991330439297</v>
      </c>
      <c r="T27" s="195">
        <f t="shared" ca="1" si="5"/>
        <v>0.20263767642083375</v>
      </c>
      <c r="U27" s="596">
        <f t="shared" ca="1" si="0"/>
        <v>1.0303962614422861</v>
      </c>
      <c r="V27" s="597">
        <f t="shared" ca="1" si="1"/>
        <v>3.1844419975127698</v>
      </c>
      <c r="W27" s="598">
        <f t="shared" ca="1" si="2"/>
        <v>4.2236873814191629</v>
      </c>
      <c r="X27" s="599">
        <f t="shared" ca="1" si="3"/>
        <v>1.0335734926697111</v>
      </c>
    </row>
    <row r="28" spans="4:24" ht="16.2" customHeight="1" thickTop="1" thickBot="1" x14ac:dyDescent="0.35">
      <c r="D28" s="112"/>
      <c r="E28" s="867" t="str">
        <f ca="1">$A$1</f>
        <v>VISITOR NUMBERS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NUMBERS'!$G$29:$R$29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NUMBERS'!$G$30:$R$30</v>
      </c>
      <c r="E30" s="200" t="str">
        <f>IF(TYPE.userselected="SFR",TYPE.userselected,PROPER(VISTYPE.short))</f>
        <v>Total</v>
      </c>
      <c r="F30" s="194" t="str">
        <f ca="1">$F$16</f>
        <v>M</v>
      </c>
      <c r="G30" s="601">
        <f t="array" ref="G30:R30" ca="1">TN.SHARE_VT_ANN</f>
        <v>7.8931782262643102</v>
      </c>
      <c r="H30" s="601">
        <f ca="1"/>
        <v>7.9772915963769329</v>
      </c>
      <c r="I30" s="601">
        <f ca="1"/>
        <v>8.4762259686949939</v>
      </c>
      <c r="J30" s="601">
        <f ca="1"/>
        <v>8.7971946207851488</v>
      </c>
      <c r="K30" s="601">
        <f ca="1"/>
        <v>9.2881268629584355</v>
      </c>
      <c r="L30" s="601">
        <f ca="1"/>
        <v>9.1828709974957086</v>
      </c>
      <c r="M30" s="601">
        <f ca="1"/>
        <v>9.2896631660385882</v>
      </c>
      <c r="N30" s="601">
        <f ca="1"/>
        <v>9.4414337277900877</v>
      </c>
      <c r="O30" s="601">
        <f ca="1"/>
        <v>9.7916860765601506</v>
      </c>
      <c r="P30" s="601">
        <f ca="1"/>
        <v>3.5005555948955389</v>
      </c>
      <c r="Q30" s="601">
        <f ca="1"/>
        <v>7.8761037665424007</v>
      </c>
      <c r="R30" s="601">
        <f ca="1"/>
        <v>9.4720991330439297</v>
      </c>
      <c r="S30" s="201"/>
      <c r="T30" s="199"/>
      <c r="U30" s="199"/>
      <c r="V30" s="199"/>
      <c r="W30" s="199"/>
      <c r="X30" s="199"/>
    </row>
    <row r="31" spans="4:24" ht="16.2" customHeight="1" thickTop="1" thickBot="1" x14ac:dyDescent="0.35">
      <c r="D31" s="196" t="str">
        <f t="shared" ca="1" si="6"/>
        <v>'VISITOR NUMBERS'!$G$31:$R$31</v>
      </c>
      <c r="E31" s="200" t="s">
        <v>96</v>
      </c>
      <c r="F31" s="194" t="str">
        <f>IF($A$4=1,"000s",IF(A4=1000,"M","Bn"))</f>
        <v>M</v>
      </c>
      <c r="G31" s="602">
        <f t="array" aca="1" ref="G31:R31" ca="1">TN.SHARE_TOTAL_ANN</f>
        <v>7.8931782262643102</v>
      </c>
      <c r="H31" s="602">
        <f ca="1"/>
        <v>7.9772915963769329</v>
      </c>
      <c r="I31" s="602">
        <f ca="1"/>
        <v>8.4762259686949939</v>
      </c>
      <c r="J31" s="602">
        <f ca="1"/>
        <v>8.7971946207851488</v>
      </c>
      <c r="K31" s="602">
        <f ca="1"/>
        <v>9.2881268629584355</v>
      </c>
      <c r="L31" s="602">
        <f ca="1"/>
        <v>9.1828709974957086</v>
      </c>
      <c r="M31" s="602">
        <f ca="1"/>
        <v>9.2896631660385882</v>
      </c>
      <c r="N31" s="602">
        <f ca="1"/>
        <v>9.4414337277900877</v>
      </c>
      <c r="O31" s="602">
        <f ca="1"/>
        <v>9.7916860765601506</v>
      </c>
      <c r="P31" s="602">
        <f ca="1"/>
        <v>3.5005555948955389</v>
      </c>
      <c r="Q31" s="602">
        <f ca="1"/>
        <v>7.8761037665424007</v>
      </c>
      <c r="R31" s="602">
        <f ca="1"/>
        <v>9.4720991330439297</v>
      </c>
      <c r="S31" s="202"/>
      <c r="T31" s="199"/>
      <c r="U31" s="199"/>
      <c r="V31" s="199"/>
      <c r="W31" s="199"/>
      <c r="X31" s="199"/>
    </row>
    <row r="32" spans="4:24" ht="16.2" customHeight="1" thickTop="1" thickBot="1" x14ac:dyDescent="0.35">
      <c r="D32" s="196" t="str">
        <f t="shared" ca="1" si="6"/>
        <v>'VISITOR NUMBERS'!$G$32:$R$32</v>
      </c>
      <c r="E32" s="200" t="s">
        <v>121</v>
      </c>
      <c r="F32" s="194" t="s">
        <v>117</v>
      </c>
      <c r="G32" s="135">
        <f t="array" ref="G32:R32" ca="1">IFERROR((TN.SHARE_VT_ANN*$A$2)/(TN.SHARE_TOTAL_ANN*$A$4),"")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NUMBERS'!$G$33:$R$33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NUMBERS'!$G$34:$R$34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NUMBERS'!$G$35:$R$35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6sNeWAraqd9K+AZKTMebosce+b6BMSNU/CHjGvcTxPvMn+VN/3DwqVWi1TpYVBXYTc4kTaeVh/UpjfMLp4+3YA==" saltValue="glC6fgOjRTVT8EUB9RXqv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124" priority="37">
      <formula>$E16=0</formula>
    </cfRule>
  </conditionalFormatting>
  <conditionalFormatting sqref="G9:R9">
    <cfRule type="expression" dxfId="123" priority="18">
      <formula>TYPE.no=2</formula>
    </cfRule>
    <cfRule type="expression" dxfId="122" priority="19">
      <formula>TYPE.no=1</formula>
    </cfRule>
    <cfRule type="expression" dxfId="121" priority="14">
      <formula>TYPE.no=6</formula>
    </cfRule>
    <cfRule type="expression" dxfId="120" priority="15">
      <formula>TYPE.no=5</formula>
    </cfRule>
    <cfRule type="expression" dxfId="119" priority="16">
      <formula>TYPE.no=4</formula>
    </cfRule>
    <cfRule type="expression" dxfId="118" priority="17">
      <formula>TYPE.no=3</formula>
    </cfRule>
  </conditionalFormatting>
  <conditionalFormatting sqref="G13:S15">
    <cfRule type="expression" priority="4" stopIfTrue="1">
      <formula>G13=""</formula>
    </cfRule>
    <cfRule type="cellIs" dxfId="117" priority="5" operator="lessThanOrEqual">
      <formula>-REP.percenthighlight</formula>
    </cfRule>
    <cfRule type="cellIs" dxfId="116" priority="6" operator="greaterThanOrEqual">
      <formula>REP.percenthighlight</formula>
    </cfRule>
  </conditionalFormatting>
  <conditionalFormatting sqref="G16:S27 U16:X27 G30:R31">
    <cfRule type="expression" dxfId="115" priority="7">
      <formula>$A$2=1</formula>
    </cfRule>
    <cfRule type="expression" dxfId="114" priority="29">
      <formula>AND($A$2&gt;1,G16&lt;10)</formula>
    </cfRule>
  </conditionalFormatting>
  <conditionalFormatting sqref="G30:S34 H35:S36">
    <cfRule type="expression" dxfId="113" priority="30" stopIfTrue="1">
      <formula>G$29=0</formula>
    </cfRule>
  </conditionalFormatting>
  <conditionalFormatting sqref="G33:S34">
    <cfRule type="cellIs" dxfId="112" priority="33" operator="lessThanOrEqual">
      <formula>-REP.percenthighlight</formula>
    </cfRule>
    <cfRule type="cellIs" dxfId="111" priority="34" operator="greaterThanOrEqual">
      <formula>REP.percenthighlight</formula>
    </cfRule>
  </conditionalFormatting>
  <conditionalFormatting sqref="H35:S36">
    <cfRule type="cellIs" dxfId="110" priority="31" operator="lessThanOrEqual">
      <formula>-REP.percenthighlight</formula>
    </cfRule>
    <cfRule type="cellIs" dxfId="109" priority="32" operator="greaterThanOrEqual">
      <formula>REP.percenthighlight</formula>
    </cfRule>
  </conditionalFormatting>
  <conditionalFormatting sqref="I29:S29">
    <cfRule type="expression" dxfId="108" priority="35">
      <formula>I29=0</formula>
    </cfRule>
  </conditionalFormatting>
  <conditionalFormatting sqref="S6:T7">
    <cfRule type="expression" dxfId="107" priority="20">
      <formula>TYPE.no=6</formula>
    </cfRule>
    <cfRule type="expression" dxfId="106" priority="21">
      <formula>TYPE.no=5</formula>
    </cfRule>
    <cfRule type="expression" dxfId="105" priority="22">
      <formula>TYPE.no=4</formula>
    </cfRule>
    <cfRule type="expression" dxfId="104" priority="23">
      <formula>TYPE.no=3</formula>
    </cfRule>
    <cfRule type="expression" dxfId="103" priority="24">
      <formula>TYPE.no=2</formula>
    </cfRule>
    <cfRule type="expression" dxfId="102" priority="25">
      <formula>TYPE.no=1</formula>
    </cfRule>
  </conditionalFormatting>
  <conditionalFormatting sqref="S28:X28">
    <cfRule type="expression" dxfId="101" priority="8">
      <formula>TYPE.no=6</formula>
    </cfRule>
    <cfRule type="expression" dxfId="100" priority="9">
      <formula>TYPE.no=5</formula>
    </cfRule>
    <cfRule type="expression" dxfId="99" priority="10">
      <formula>TYPE.no=4</formula>
    </cfRule>
    <cfRule type="expression" dxfId="98" priority="11">
      <formula>TYPE.no=3</formula>
    </cfRule>
    <cfRule type="expression" dxfId="97" priority="12">
      <formula>TYPE.no=2</formula>
    </cfRule>
    <cfRule type="expression" dxfId="96" priority="13">
      <formula>TYPE.no=1</formula>
    </cfRule>
  </conditionalFormatting>
  <conditionalFormatting sqref="T17:T27">
    <cfRule type="cellIs" dxfId="95" priority="56" operator="lessThanOrEqual">
      <formula>-REP.percenthighlight</formula>
    </cfRule>
    <cfRule type="cellIs" dxfId="94" priority="55" operator="greaterThanOrEqual">
      <formula>REP.percenthighlight</formula>
    </cfRule>
  </conditionalFormatting>
  <conditionalFormatting sqref="U13:X15">
    <cfRule type="cellIs" dxfId="93" priority="3" operator="greaterThanOrEqual">
      <formula>REP.percenthighlight</formula>
    </cfRule>
    <cfRule type="cellIs" dxfId="92" priority="2" operator="less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DAYS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'VISITOR NUMBERS'!A2</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DAYS'!$A$1&amp;"."&amp;TOTAL,REP.lookup,0))-INDEX(DATA!T:T,MATCH(REP.yearsrange&amp;"."&amp;'VISITOR DAYS'!$A$1&amp;"."&amp;DV,REP.lookup,0))),INDEX(DATA!T:T,MATCH(REP.yearsrange&amp;"."&amp;'VISITOR DAYS'!$A$1&amp;"."&amp;TYPE.userselected,REP.lookup,0)))),0)</f>
        <v>14432.313629887423</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DAYS.TOTAL",REP.data,18,FALSE)</f>
        <v>17957.917562781528</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7" t="str">
        <f>REP.title1</f>
        <v>STEAM FINAL TREND REPORT FOR 2011-2022</v>
      </c>
      <c r="F6" s="384"/>
      <c r="G6" s="384"/>
      <c r="H6" s="384"/>
      <c r="I6" s="384"/>
      <c r="J6" s="384"/>
      <c r="K6" s="384"/>
      <c r="L6" s="384"/>
      <c r="M6" s="384"/>
      <c r="N6" s="384"/>
      <c r="O6" s="385"/>
      <c r="P6" s="1036" t="str">
        <f>MIN(REP.yearsrange)&amp;" to "&amp;MAX(REP.yearsrange)</f>
        <v>2011 to 2022</v>
      </c>
      <c r="Q6" s="1037"/>
      <c r="R6" s="1038"/>
      <c r="S6" s="929" t="str">
        <f>UPPER(VISTYPE.short)</f>
        <v>TOTAL</v>
      </c>
      <c r="T6" s="930"/>
      <c r="U6" s="1030" t="str">
        <f ca="1">$A$1</f>
        <v>VISITOR DAYS</v>
      </c>
      <c r="V6" s="1031"/>
      <c r="W6" s="1031"/>
      <c r="X6" s="1032"/>
    </row>
    <row r="7" spans="1:25" ht="16.2" customHeight="1" thickBot="1" x14ac:dyDescent="0.35">
      <c r="D7" s="112"/>
      <c r="E7" s="378" t="str">
        <f>REP.title2</f>
        <v>CONWY COUNTY BOROUGH COUNCIL</v>
      </c>
      <c r="F7" s="379"/>
      <c r="G7" s="379"/>
      <c r="H7" s="379"/>
      <c r="I7" s="380"/>
      <c r="J7" s="380"/>
      <c r="K7" s="380"/>
      <c r="L7" s="380"/>
      <c r="M7" s="380"/>
      <c r="N7" s="380"/>
      <c r="O7" s="386"/>
      <c r="P7" s="1039"/>
      <c r="Q7" s="1040"/>
      <c r="R7" s="1041"/>
      <c r="S7" s="931"/>
      <c r="T7" s="932"/>
      <c r="U7" s="1033"/>
      <c r="V7" s="1034"/>
      <c r="W7" s="1034"/>
      <c r="X7" s="1035"/>
    </row>
    <row r="8" spans="1:25" ht="16.2" customHeight="1" thickTop="1" thickBot="1" x14ac:dyDescent="0.35">
      <c r="D8" s="112"/>
      <c r="E8" s="867" t="str">
        <f ca="1">$A$1&amp;" BY:"</f>
        <v>VISITOR DAYS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DAYS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0.24170445303678934</v>
      </c>
      <c r="H13" s="135">
        <f ca="1">IFERROR(INDEX(H$16:H$27,MATCH(MAX(REP.yearsrange),$E$16:$E$27,0))/INDEX(H$16:H$27,MATCH(MIN(REP.yearsrange),$E$16:$E$27,0))-1,"")</f>
        <v>4.0163580407166277E-2</v>
      </c>
      <c r="I13" s="135">
        <f ca="1">IFERROR(INDEX(I$16:I$27,MATCH(MAX(REP.yearsrange),$E$16:$E$27,0))/INDEX(I$16:I$27,MATCH(MIN(REP.yearsrange),$E$16:$E$27,0))-1,"")</f>
        <v>0.32183284944486967</v>
      </c>
      <c r="J13" s="135">
        <f ca="1">IFERROR(INDEX(J$16:J$27,MATCH(MAX(REP.yearsrange),$E$16:$E$27,0))/INDEX(J$16:J$27,MATCH(MIN(REP.yearsrange),$E$16:$E$27,0))-1,"")</f>
        <v>0.1761072456557975</v>
      </c>
      <c r="K13" s="135">
        <f ca="1">IFERROR(INDEX(K$16:K$27,MATCH(MAX(REP.yearsrange),$E$16:$E$27,0))/INDEX(K$16:K$27,MATCH(MIN(REP.yearsrange),$E$16:$E$27,0))-1,"")</f>
        <v>0.24892555873051969</v>
      </c>
      <c r="L13" s="135">
        <f ca="1">IFERROR(INDEX(L$16:L$27,MATCH(MAX(REP.yearsrange),$E$16:$E$27,0))/INDEX(L$16:L$27,MATCH(MIN(REP.yearsrange),$E$16:$E$27,0))-1,"")</f>
        <v>0.2914534314531898</v>
      </c>
      <c r="M13" s="135">
        <f ca="1">IFERROR(INDEX(M$16:M$27,MATCH(MAX(REP.yearsrange),$E$16:$E$27,0))/INDEX(M$16:M$27,MATCH(MIN(REP.yearsrange),$E$16:$E$27,0))-1,"")</f>
        <v>0.33974048807085944</v>
      </c>
      <c r="N13" s="135">
        <f ca="1">IFERROR(INDEX(N$16:N$27,MATCH(MAX(REP.yearsrange),$E$16:$E$27,0))/INDEX(N$16:N$27,MATCH(MIN(REP.yearsrange),$E$16:$E$27,0))-1,"")</f>
        <v>0.22188425212487295</v>
      </c>
      <c r="O13" s="135">
        <f ca="1">IFERROR(INDEX(O$16:O$27,MATCH(MAX(REP.yearsrange),$E$16:$E$27,0))/INDEX(O$16:O$27,MATCH(MIN(REP.yearsrange),$E$16:$E$27,0))-1,"")</f>
        <v>0.16475721091597495</v>
      </c>
      <c r="P13" s="135">
        <f ca="1">IFERROR(INDEX(P$16:P$27,MATCH(MAX(REP.yearsrange),$E$16:$E$27,0))/INDEX(P$16:P$27,MATCH(MIN(REP.yearsrange),$E$16:$E$27,0))-1,"")</f>
        <v>0.17337703011936201</v>
      </c>
      <c r="Q13" s="135">
        <f ca="1">IFERROR(INDEX(Q$16:Q$27,MATCH(MAX(REP.yearsrange),$E$16:$E$27,0))/INDEX(Q$16:Q$27,MATCH(MIN(REP.yearsrange),$E$16:$E$27,0))-1,"")</f>
        <v>0.66330921474666971</v>
      </c>
      <c r="R13" s="135">
        <f ca="1">IFERROR(INDEX(R$16:R$27,MATCH(MAX(REP.yearsrange),$E$16:$E$27,0))/INDEX(R$16:R$27,MATCH(MIN(REP.yearsrange),$E$16:$E$27,0))-1,"")</f>
        <v>0.14931101048327999</v>
      </c>
      <c r="S13" s="135">
        <f ca="1">IFERROR(INDEX(S$16:S$27,MATCH(MAX(REP.yearsrange),$E$16:$E$27,0))/INDEX(S$16:S$27,MATCH(MIN(REP.yearsrange),$E$16:$E$27,0))-1,"")</f>
        <v>0.24428542944029741</v>
      </c>
      <c r="T13" s="997" t="str">
        <f>"Annual"&amp;CHAR(10)&amp;"Change"</f>
        <v>Annual
Change</v>
      </c>
      <c r="U13" s="135">
        <f ca="1">IFERROR(INDEX(U$16:U$27,MATCH(MAX(REP.yearsrange),$E$16:$E$27,0))/INDEX(U$16:U$27,MATCH(MIN(REP.yearsrange),$E$16:$E$27,0))-1,"")</f>
        <v>0.22352982828052625</v>
      </c>
      <c r="V13" s="135">
        <f ca="1">IFERROR(INDEX(V$16:V$27,MATCH(MAX(REP.yearsrange),$E$16:$E$27,0))/INDEX(V$16:V$27,MATCH(MIN(REP.yearsrange),$E$16:$E$27,0))-1,"")</f>
        <v>0.23842531993823379</v>
      </c>
      <c r="W13" s="135">
        <f ca="1">IFERROR(INDEX(W$16:W$27,MATCH(MAX(REP.yearsrange),$E$16:$E$27,0))/INDEX(W$16:W$27,MATCH(MIN(REP.yearsrange),$E$16:$E$27,0))-1,"")</f>
        <v>0.24697237520755011</v>
      </c>
      <c r="X13" s="135">
        <f ca="1">IFERROR(INDEX(X$16:X$27,MATCH(MAX(REP.yearsrange),$E$16:$E$27,0))/INDEX(X$16:X$27,MATCH(MIN(REP.yearsrange),$E$16:$E$27,0))-1,"")</f>
        <v>0.26844111763109746</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5.6797184912058585</v>
      </c>
      <c r="J14" s="135">
        <f ca="1">IFERROR(INDEX(J$16:J$27,MATCH(MAX(REP.yearsrange),$E$16:$E$27,0))/INDEX(J$16:J$27,MATCH(INDEX(REP.yearsrange,COUNT(REP.yearsrange)-1),$E$16:$E$27,0))-1,"")</f>
        <v>0.6904118626212441</v>
      </c>
      <c r="K14" s="135">
        <f ca="1">IFERROR(INDEX(K$16:K$27,MATCH(MAX(REP.yearsrange),$E$16:$E$27,0))/INDEX(K$16:K$27,MATCH(INDEX(REP.yearsrange,COUNT(REP.yearsrange)-1),$E$16:$E$27,0))-1,"")</f>
        <v>0.77696325463134386</v>
      </c>
      <c r="L14" s="135">
        <f ca="1">IFERROR(INDEX(L$16:L$27,MATCH(MAX(REP.yearsrange),$E$16:$E$27,0))/INDEX(L$16:L$27,MATCH(INDEX(REP.yearsrange,COUNT(REP.yearsrange)-1),$E$16:$E$27,0))-1,"")</f>
        <v>0.46914005203865683</v>
      </c>
      <c r="M14" s="135">
        <f ca="1">IFERROR(INDEX(M$16:M$27,MATCH(MAX(REP.yearsrange),$E$16:$E$27,0))/INDEX(M$16:M$27,MATCH(INDEX(REP.yearsrange,COUNT(REP.yearsrange)-1),$E$16:$E$27,0))-1,"")</f>
        <v>0.19738314013560432</v>
      </c>
      <c r="N14" s="135">
        <f ca="1">IFERROR(INDEX(N$16:N$27,MATCH(MAX(REP.yearsrange),$E$16:$E$27,0))/INDEX(N$16:N$27,MATCH(INDEX(REP.yearsrange,COUNT(REP.yearsrange)-1),$E$16:$E$27,0))-1,"")</f>
        <v>-5.718096375528503E-2</v>
      </c>
      <c r="O14" s="135">
        <f ca="1">IFERROR(INDEX(O$16:O$27,MATCH(MAX(REP.yearsrange),$E$16:$E$27,0))/INDEX(O$16:O$27,MATCH(INDEX(REP.yearsrange,COUNT(REP.yearsrange)-1),$E$16:$E$27,0))-1,"")</f>
        <v>-0.11460936944012112</v>
      </c>
      <c r="P14" s="135">
        <f ca="1">IFERROR(INDEX(P$16:P$27,MATCH(MAX(REP.yearsrange),$E$16:$E$27,0))/INDEX(P$16:P$27,MATCH(INDEX(REP.yearsrange,COUNT(REP.yearsrange)-1),$E$16:$E$27,0))-1,"")</f>
        <v>-0.12382598948748713</v>
      </c>
      <c r="Q14" s="135">
        <f ca="1">IFERROR(INDEX(Q$16:Q$27,MATCH(MAX(REP.yearsrange),$E$16:$E$27,0))/INDEX(Q$16:Q$27,MATCH(INDEX(REP.yearsrange,COUNT(REP.yearsrange)-1),$E$16:$E$27,0))-1,"")</f>
        <v>0.33761961703255339</v>
      </c>
      <c r="R14" s="135">
        <f ca="1">IFERROR(INDEX(R$16:R$27,MATCH(MAX(REP.yearsrange),$E$16:$E$27,0))/INDEX(R$16:R$27,MATCH(INDEX(REP.yearsrange,COUNT(REP.yearsrange)-1),$E$16:$E$27,0))-1,"")</f>
        <v>8.0561344503994547E-2</v>
      </c>
      <c r="S14" s="135">
        <f ca="1">IFERROR(INDEX(S$16:S$27,MATCH(MAX(REP.yearsrange),$E$16:$E$27,0))/INDEX(S$16:S$27,MATCH(INDEX(REP.yearsrange,COUNT(REP.yearsrange)-1),$E$16:$E$27,0))-1,"")</f>
        <v>0.29744362058305929</v>
      </c>
      <c r="T14" s="997"/>
      <c r="U14" s="135">
        <f ca="1">IFERROR(INDEX(U$16:U$27,MATCH(MAX(REP.yearsrange),$E$16:$E$27,0))/INDEX(U$16:U$27,MATCH(INDEX(REP.yearsrange,COUNT(REP.yearsrange)-1),$E$16:$E$27,0))-1,"")</f>
        <v>10.441858352880393</v>
      </c>
      <c r="V14" s="135">
        <f ca="1">IFERROR(INDEX(V$16:V$27,MATCH(MAX(REP.yearsrange),$E$16:$E$27,0))/INDEX(V$16:V$27,MATCH(INDEX(REP.yearsrange,COUNT(REP.yearsrange)-1),$E$16:$E$27,0))-1,"")</f>
        <v>0.63153299713829569</v>
      </c>
      <c r="W14" s="135">
        <f ca="1">IFERROR(INDEX(W$16:W$27,MATCH(MAX(REP.yearsrange),$E$16:$E$27,0))/INDEX(W$16:W$27,MATCH(INDEX(REP.yearsrange,COUNT(REP.yearsrange)-1),$E$16:$E$27,0))-1,"")</f>
        <v>4.7398344923164082E-3</v>
      </c>
      <c r="X14" s="135">
        <f ca="1">IFERROR(INDEX(X$16:X$27,MATCH(MAX(REP.yearsrange),$E$16:$E$27,0))/INDEX(X$16:X$27,MATCH(INDEX(REP.yearsrange,COUNT(REP.yearsrange)-1),$E$16:$E$27,0))-1,"")</f>
        <v>-9.4455136243450921E-3</v>
      </c>
    </row>
    <row r="15" spans="1:25" ht="16.2" customHeight="1" thickTop="1" thickBot="1" x14ac:dyDescent="0.35">
      <c r="D15" s="112"/>
      <c r="E15" s="996" t="s">
        <v>116</v>
      </c>
      <c r="F15" s="996"/>
      <c r="G15" s="135">
        <f ca="1">IFERROR(G13/(MAX(REP.yearsrange)-MIN(REP.yearsrange)),"")</f>
        <v>2.1973132094253577E-2</v>
      </c>
      <c r="H15" s="135">
        <f ca="1">IFERROR(H13/(MAX(REP.yearsrange)-MIN(REP.yearsrange)),"")</f>
        <v>3.6512345824696616E-3</v>
      </c>
      <c r="I15" s="135">
        <f ca="1">IFERROR(I13/(MAX(REP.yearsrange)-MIN(REP.yearsrange)),"")</f>
        <v>2.9257531767715426E-2</v>
      </c>
      <c r="J15" s="135">
        <f ca="1">IFERROR(J13/(MAX(REP.yearsrange)-MIN(REP.yearsrange)),"")</f>
        <v>1.6009749605072499E-2</v>
      </c>
      <c r="K15" s="135">
        <f ca="1">IFERROR(K13/(MAX(REP.yearsrange)-MIN(REP.yearsrange)),"")</f>
        <v>2.2629596248229064E-2</v>
      </c>
      <c r="L15" s="135">
        <f ca="1">IFERROR(L13/(MAX(REP.yearsrange)-MIN(REP.yearsrange)),"")</f>
        <v>2.6495766495744529E-2</v>
      </c>
      <c r="M15" s="135">
        <f ca="1">IFERROR(M13/(MAX(REP.yearsrange)-MIN(REP.yearsrange)),"")</f>
        <v>3.0885498915532675E-2</v>
      </c>
      <c r="N15" s="135">
        <f ca="1">IFERROR(N13/(MAX(REP.yearsrange)-MIN(REP.yearsrange)),"")</f>
        <v>2.0171295647715724E-2</v>
      </c>
      <c r="O15" s="135">
        <f ca="1">IFERROR(O13/(MAX(REP.yearsrange)-MIN(REP.yearsrange)),"")</f>
        <v>1.4977928265088631E-2</v>
      </c>
      <c r="P15" s="135">
        <f ca="1">IFERROR(P13/(MAX(REP.yearsrange)-MIN(REP.yearsrange)),"")</f>
        <v>1.5761548192669273E-2</v>
      </c>
      <c r="Q15" s="135">
        <f ca="1">IFERROR(Q13/(MAX(REP.yearsrange)-MIN(REP.yearsrange)),"")</f>
        <v>6.0300837704242702E-2</v>
      </c>
      <c r="R15" s="135">
        <f ca="1">IFERROR(R13/(MAX(REP.yearsrange)-MIN(REP.yearsrange)),"")</f>
        <v>1.3573728225752727E-2</v>
      </c>
      <c r="S15" s="135">
        <f ca="1">IFERROR(S13/(MAX(REP.yearsrange)-MIN(REP.yearsrange)),"")</f>
        <v>2.2207766312754309E-2</v>
      </c>
      <c r="T15" s="997"/>
      <c r="U15" s="135">
        <f ca="1">IFERROR(U13/(MAX(REP.yearsrange)-MIN(REP.yearsrange)),"")</f>
        <v>2.0320893480047841E-2</v>
      </c>
      <c r="V15" s="135">
        <f ca="1">IFERROR(V13/(MAX(REP.yearsrange)-MIN(REP.yearsrange)),"")</f>
        <v>2.1675029085293982E-2</v>
      </c>
      <c r="W15" s="135">
        <f ca="1">IFERROR(W13/(MAX(REP.yearsrange)-MIN(REP.yearsrange)),"")</f>
        <v>2.2452034109777284E-2</v>
      </c>
      <c r="X15" s="135">
        <f ca="1">IFERROR(X13/(MAX(REP.yearsrange)-MIN(REP.yearsrange)),"")</f>
        <v>2.4403737966463404E-2</v>
      </c>
    </row>
    <row r="16" spans="1:25" ht="16.2" customHeight="1" thickTop="1" thickBot="1" x14ac:dyDescent="0.35">
      <c r="D16" s="112"/>
      <c r="E16" s="193">
        <f t="array" ref="E16:E27">INDEX(REP.yearsrange,REP.yearnos)</f>
        <v>2011</v>
      </c>
      <c r="F16" s="194" t="str">
        <f ca="1">IF($A$2=1,"000s",IF(A2=1000,"M","Bn"))</f>
        <v>M</v>
      </c>
      <c r="G16" s="589">
        <f t="array" aca="1" ref="G16:G27" ca="1">TD.MONTHLYDATA</f>
        <v>0.24107255005011466</v>
      </c>
      <c r="H16" s="589">
        <f t="array" aca="1" ref="H16:H27" ca="1">TD.MONTHLYDATA</f>
        <v>0.47563866666410831</v>
      </c>
      <c r="I16" s="589">
        <f t="array" aca="1" ref="I16:I27" ca="1">TD.MONTHLYDATA</f>
        <v>0.84264627406522552</v>
      </c>
      <c r="J16" s="590">
        <f t="array" aca="1" ref="J16:J27" ca="1">TD.MONTHLYDATA</f>
        <v>1.6680143503673397</v>
      </c>
      <c r="K16" s="590">
        <f t="array" aca="1" ref="K16:K27" ca="1">TD.MONTHLYDATA</f>
        <v>1.620899608355779</v>
      </c>
      <c r="L16" s="590">
        <f t="array" aca="1" ref="L16:L27" ca="1">TD.MONTHLYDATA</f>
        <v>1.6392740899284268</v>
      </c>
      <c r="M16" s="591">
        <f t="array" aca="1" ref="M16:M27" ca="1">TD.MONTHLYDATA</f>
        <v>2.060950620620059</v>
      </c>
      <c r="N16" s="591">
        <f t="array" aca="1" ref="N16:N27" ca="1">TD.MONTHLYDATA</f>
        <v>2.4464443727500731</v>
      </c>
      <c r="O16" s="591">
        <f t="array" aca="1" ref="O16:O27" ca="1">TD.MONTHLYDATA</f>
        <v>1.5789520505065178</v>
      </c>
      <c r="P16" s="592">
        <f t="array" aca="1" ref="P16:P27" ca="1">TD.MONTHLYDATA</f>
        <v>1.218907413498229</v>
      </c>
      <c r="Q16" s="592">
        <f t="array" aca="1" ref="Q16:Q27" ca="1">TD.MONTHLYDATA</f>
        <v>0.37365820943330763</v>
      </c>
      <c r="R16" s="592">
        <f t="array" aca="1" ref="R16:R27" ca="1">TD.MONTHLYDATA</f>
        <v>0.26585542364824355</v>
      </c>
      <c r="S16" s="593">
        <f t="array" aca="1" ref="S16:S27" ca="1">TD.MONTHLYDATA</f>
        <v>14.432313629887423</v>
      </c>
      <c r="T16" s="997"/>
      <c r="U16" s="589">
        <f ca="1">IF(SUM(G16:I16)=0,"",SUM(G16:I16))</f>
        <v>1.5593574907794485</v>
      </c>
      <c r="V16" s="590">
        <f ca="1">IF(SUM(J16:L16)=0,"",SUM(J16:L16))</f>
        <v>4.9281880486515455</v>
      </c>
      <c r="W16" s="591">
        <f ca="1">IF(SUM(M16:O16)=0,"",SUM(M16:O16))</f>
        <v>6.0863470438766498</v>
      </c>
      <c r="X16" s="592">
        <f ca="1">IF(SUM(P16:R16)=0,"",SUM(P16:R16))</f>
        <v>1.8584210465797801</v>
      </c>
      <c r="Y16" s="73"/>
    </row>
    <row r="17" spans="4:24" ht="16.2" customHeight="1" thickTop="1" thickBot="1" x14ac:dyDescent="0.35">
      <c r="D17" s="112"/>
      <c r="E17" s="193">
        <v>2012</v>
      </c>
      <c r="F17" s="194" t="str">
        <f ca="1">$F$16</f>
        <v>M</v>
      </c>
      <c r="G17" s="589">
        <f ca="1"/>
        <v>0.21201328480021445</v>
      </c>
      <c r="H17" s="589">
        <f ca="1"/>
        <v>0.48741585180561531</v>
      </c>
      <c r="I17" s="589">
        <f ca="1"/>
        <v>0.93060853463956894</v>
      </c>
      <c r="J17" s="590">
        <f ca="1"/>
        <v>1.6374253552974123</v>
      </c>
      <c r="K17" s="590">
        <f ca="1"/>
        <v>1.6863670353561984</v>
      </c>
      <c r="L17" s="590">
        <f ca="1"/>
        <v>1.7385606319968325</v>
      </c>
      <c r="M17" s="591">
        <f ca="1"/>
        <v>2.2646035635252537</v>
      </c>
      <c r="N17" s="591">
        <f ca="1"/>
        <v>2.5773507638240107</v>
      </c>
      <c r="O17" s="591">
        <f ca="1"/>
        <v>1.773817003137895</v>
      </c>
      <c r="P17" s="592">
        <f ca="1"/>
        <v>1.3368357314372956</v>
      </c>
      <c r="Q17" s="592">
        <f ca="1"/>
        <v>0.57187228406009882</v>
      </c>
      <c r="R17" s="592">
        <f ca="1"/>
        <v>0.28820651558314669</v>
      </c>
      <c r="S17" s="593">
        <f ca="1"/>
        <v>15.505076555463541</v>
      </c>
      <c r="T17" s="195">
        <f ca="1">IFERROR(IF(S17&lt;&gt;0,S17/S16-1,""),"")</f>
        <v>7.4330627305283059E-2</v>
      </c>
      <c r="U17" s="589">
        <f t="shared" ref="U17:U27" ca="1" si="0">IF(SUM(G17:I17)=0,"",SUM(G17:I17))</f>
        <v>1.6300376712453986</v>
      </c>
      <c r="V17" s="590">
        <f t="shared" ref="V17:V27" ca="1" si="1">IF(SUM(J17:L17)=0,"",SUM(J17:L17))</f>
        <v>5.0623530226504432</v>
      </c>
      <c r="W17" s="591">
        <f t="shared" ref="W17:W27" ca="1" si="2">IF(SUM(M17:O17)=0,"",SUM(M17:O17))</f>
        <v>6.6157713304871599</v>
      </c>
      <c r="X17" s="592">
        <f t="shared" ref="X17:X27" ca="1" si="3">IF(SUM(P17:R17)=0,"",SUM(P17:R17))</f>
        <v>2.1969145310805409</v>
      </c>
    </row>
    <row r="18" spans="4:24" ht="16.2" customHeight="1" thickTop="1" thickBot="1" x14ac:dyDescent="0.35">
      <c r="D18" s="112"/>
      <c r="E18" s="193">
        <v>2013</v>
      </c>
      <c r="F18" s="194" t="str">
        <f t="shared" ref="F18:F27" ca="1" si="4">$F$16</f>
        <v>M</v>
      </c>
      <c r="G18" s="589">
        <f ca="1"/>
        <v>0.22670487232884159</v>
      </c>
      <c r="H18" s="589">
        <f ca="1"/>
        <v>0.47712724102127346</v>
      </c>
      <c r="I18" s="589">
        <f ca="1"/>
        <v>0.9614149190189385</v>
      </c>
      <c r="J18" s="590">
        <f ca="1"/>
        <v>1.5382179675432124</v>
      </c>
      <c r="K18" s="590">
        <f ca="1"/>
        <v>2.0211926747965387</v>
      </c>
      <c r="L18" s="590">
        <f ca="1"/>
        <v>1.8435910412085383</v>
      </c>
      <c r="M18" s="591">
        <f ca="1"/>
        <v>2.4607879120034903</v>
      </c>
      <c r="N18" s="591">
        <f ca="1"/>
        <v>2.8220927366021664</v>
      </c>
      <c r="O18" s="591">
        <f ca="1"/>
        <v>1.7417679757887983</v>
      </c>
      <c r="P18" s="592">
        <f ca="1"/>
        <v>1.2042381234146957</v>
      </c>
      <c r="Q18" s="592">
        <f ca="1"/>
        <v>0.58377918974467613</v>
      </c>
      <c r="R18" s="592">
        <f ca="1"/>
        <v>0.28204894776442258</v>
      </c>
      <c r="S18" s="593">
        <f ca="1"/>
        <v>16.162963601235592</v>
      </c>
      <c r="T18" s="195">
        <f t="shared" ref="T18:T27" ca="1" si="5">IFERROR(IF(S18&lt;&gt;0,S18/S17-1,""),"")</f>
        <v>4.2430428732080694E-2</v>
      </c>
      <c r="U18" s="589">
        <f t="shared" ca="1" si="0"/>
        <v>1.6652470323690536</v>
      </c>
      <c r="V18" s="590">
        <f t="shared" ca="1" si="1"/>
        <v>5.4030016835482897</v>
      </c>
      <c r="W18" s="591">
        <f t="shared" ca="1" si="2"/>
        <v>7.0246486243944553</v>
      </c>
      <c r="X18" s="592">
        <f t="shared" ca="1" si="3"/>
        <v>2.0700662609237943</v>
      </c>
    </row>
    <row r="19" spans="4:24" ht="16.2" customHeight="1" thickTop="1" thickBot="1" x14ac:dyDescent="0.35">
      <c r="D19" s="112"/>
      <c r="E19" s="193">
        <v>2014</v>
      </c>
      <c r="F19" s="194" t="str">
        <f t="shared" ca="1" si="4"/>
        <v>M</v>
      </c>
      <c r="G19" s="589">
        <f ca="1"/>
        <v>0.24822748348464038</v>
      </c>
      <c r="H19" s="589">
        <f ca="1"/>
        <v>0.49199859453549816</v>
      </c>
      <c r="I19" s="589">
        <f ca="1"/>
        <v>0.98710593539279989</v>
      </c>
      <c r="J19" s="590">
        <f ca="1"/>
        <v>1.6770679227768377</v>
      </c>
      <c r="K19" s="590">
        <f ca="1"/>
        <v>2.0383526185218761</v>
      </c>
      <c r="L19" s="590">
        <f ca="1"/>
        <v>1.7482882218869908</v>
      </c>
      <c r="M19" s="591">
        <f ca="1"/>
        <v>2.4281945083692218</v>
      </c>
      <c r="N19" s="591">
        <f ca="1"/>
        <v>2.911203279864214</v>
      </c>
      <c r="O19" s="591">
        <f ca="1"/>
        <v>1.8015546076906586</v>
      </c>
      <c r="P19" s="592">
        <f ca="1"/>
        <v>1.2082734588408683</v>
      </c>
      <c r="Q19" s="592">
        <f ca="1"/>
        <v>0.58325665339175192</v>
      </c>
      <c r="R19" s="592">
        <f ca="1"/>
        <v>0.27289828882885026</v>
      </c>
      <c r="S19" s="593">
        <f ca="1"/>
        <v>16.39642157358421</v>
      </c>
      <c r="T19" s="195">
        <f t="shared" ca="1" si="5"/>
        <v>1.4444007801315051E-2</v>
      </c>
      <c r="U19" s="589">
        <f t="shared" ca="1" si="0"/>
        <v>1.7273320134129384</v>
      </c>
      <c r="V19" s="590">
        <f t="shared" ca="1" si="1"/>
        <v>5.4637087631857044</v>
      </c>
      <c r="W19" s="591">
        <f t="shared" ca="1" si="2"/>
        <v>7.1409523959240939</v>
      </c>
      <c r="X19" s="592">
        <f t="shared" ca="1" si="3"/>
        <v>2.0644284010614706</v>
      </c>
    </row>
    <row r="20" spans="4:24" ht="16.2" customHeight="1" thickTop="1" thickBot="1" x14ac:dyDescent="0.35">
      <c r="D20" s="112"/>
      <c r="E20" s="193">
        <v>2015</v>
      </c>
      <c r="F20" s="194" t="str">
        <f t="shared" ca="1" si="4"/>
        <v>M</v>
      </c>
      <c r="G20" s="589">
        <f ca="1"/>
        <v>0.25637662202247408</v>
      </c>
      <c r="H20" s="589">
        <f ca="1"/>
        <v>0.5189371976885222</v>
      </c>
      <c r="I20" s="589">
        <f ca="1"/>
        <v>1.0075036423849135</v>
      </c>
      <c r="J20" s="590">
        <f ca="1"/>
        <v>1.745903243411844</v>
      </c>
      <c r="K20" s="590">
        <f ca="1"/>
        <v>2.1243481654179988</v>
      </c>
      <c r="L20" s="590">
        <f ca="1"/>
        <v>1.8151307125073142</v>
      </c>
      <c r="M20" s="591">
        <f ca="1"/>
        <v>2.6334045160120887</v>
      </c>
      <c r="N20" s="591">
        <f ca="1"/>
        <v>3.0863953570186431</v>
      </c>
      <c r="O20" s="591">
        <f ca="1"/>
        <v>1.8528719129737203</v>
      </c>
      <c r="P20" s="592">
        <f ca="1"/>
        <v>1.2646857131034968</v>
      </c>
      <c r="Q20" s="592">
        <f ca="1"/>
        <v>0.58559638981444051</v>
      </c>
      <c r="R20" s="592">
        <f ca="1"/>
        <v>0.25299043990912845</v>
      </c>
      <c r="S20" s="593">
        <f ca="1"/>
        <v>17.144143912264582</v>
      </c>
      <c r="T20" s="195">
        <f t="shared" ca="1" si="5"/>
        <v>4.5602775905994264E-2</v>
      </c>
      <c r="U20" s="589">
        <f t="shared" ca="1" si="0"/>
        <v>1.7828174620959099</v>
      </c>
      <c r="V20" s="590">
        <f t="shared" ca="1" si="1"/>
        <v>5.6853821213371569</v>
      </c>
      <c r="W20" s="591">
        <f t="shared" ca="1" si="2"/>
        <v>7.5726717860044523</v>
      </c>
      <c r="X20" s="592">
        <f t="shared" ca="1" si="3"/>
        <v>2.1032725428270655</v>
      </c>
    </row>
    <row r="21" spans="4:24" ht="16.2" customHeight="1" thickTop="1" thickBot="1" x14ac:dyDescent="0.35">
      <c r="D21" s="112"/>
      <c r="E21" s="193">
        <v>2016</v>
      </c>
      <c r="F21" s="194" t="str">
        <f t="shared" ca="1" si="4"/>
        <v>M</v>
      </c>
      <c r="G21" s="589">
        <f ca="1"/>
        <v>0.26428196068224297</v>
      </c>
      <c r="H21" s="589">
        <f ca="1"/>
        <v>0.4926474452144296</v>
      </c>
      <c r="I21" s="589">
        <f ca="1"/>
        <v>1.1230650677018916</v>
      </c>
      <c r="J21" s="590">
        <f ca="1"/>
        <v>1.6320670861042226</v>
      </c>
      <c r="K21" s="590">
        <f ca="1"/>
        <v>1.8857611959753495</v>
      </c>
      <c r="L21" s="590">
        <f ca="1"/>
        <v>2.0075030893783454</v>
      </c>
      <c r="M21" s="591">
        <f ca="1"/>
        <v>2.6201736108636386</v>
      </c>
      <c r="N21" s="591">
        <f ca="1"/>
        <v>2.9980500266845764</v>
      </c>
      <c r="O21" s="591">
        <f ca="1"/>
        <v>1.8343343326639237</v>
      </c>
      <c r="P21" s="592">
        <f ca="1"/>
        <v>1.2199355583366565</v>
      </c>
      <c r="Q21" s="592">
        <f ca="1"/>
        <v>0.58403070417951142</v>
      </c>
      <c r="R21" s="592">
        <f ca="1"/>
        <v>0.30553062658179431</v>
      </c>
      <c r="S21" s="593">
        <f ca="1"/>
        <v>16.967380704366583</v>
      </c>
      <c r="T21" s="195">
        <f t="shared" ca="1" si="5"/>
        <v>-1.0310413211799152E-2</v>
      </c>
      <c r="U21" s="589">
        <f t="shared" ca="1" si="0"/>
        <v>1.8799944735985643</v>
      </c>
      <c r="V21" s="590">
        <f t="shared" ca="1" si="1"/>
        <v>5.5253313714579173</v>
      </c>
      <c r="W21" s="591">
        <f t="shared" ca="1" si="2"/>
        <v>7.4525579702121387</v>
      </c>
      <c r="X21" s="592">
        <f t="shared" ca="1" si="3"/>
        <v>2.1094968890979624</v>
      </c>
    </row>
    <row r="22" spans="4:24" ht="16.2" customHeight="1" thickTop="1" thickBot="1" x14ac:dyDescent="0.35">
      <c r="D22" s="112"/>
      <c r="E22" s="193">
        <v>2017</v>
      </c>
      <c r="F22" s="194" t="str">
        <f t="shared" ca="1" si="4"/>
        <v>M</v>
      </c>
      <c r="G22" s="589">
        <f ca="1"/>
        <v>0.29750086408697168</v>
      </c>
      <c r="H22" s="589">
        <f ca="1"/>
        <v>0.54079232075774786</v>
      </c>
      <c r="I22" s="589">
        <f ca="1"/>
        <v>1.0190767310581779</v>
      </c>
      <c r="J22" s="590">
        <f ca="1"/>
        <v>2.0005221891665621</v>
      </c>
      <c r="K22" s="590">
        <f ca="1"/>
        <v>1.9923390115092943</v>
      </c>
      <c r="L22" s="590">
        <f ca="1"/>
        <v>1.953526373750661</v>
      </c>
      <c r="M22" s="591">
        <f ca="1"/>
        <v>2.6416786639959193</v>
      </c>
      <c r="N22" s="591">
        <f ca="1"/>
        <v>2.939733634687999</v>
      </c>
      <c r="O22" s="591">
        <f ca="1"/>
        <v>1.8483955745266605</v>
      </c>
      <c r="P22" s="592">
        <f ca="1"/>
        <v>1.3368248783594701</v>
      </c>
      <c r="Q22" s="592">
        <f ca="1"/>
        <v>0.60290749134436705</v>
      </c>
      <c r="R22" s="592">
        <f ca="1"/>
        <v>0.29707385764766581</v>
      </c>
      <c r="S22" s="593">
        <f ca="1"/>
        <v>17.470371590891492</v>
      </c>
      <c r="T22" s="195">
        <f t="shared" ca="1" si="5"/>
        <v>2.9644580698036993E-2</v>
      </c>
      <c r="U22" s="589">
        <f t="shared" ca="1" si="0"/>
        <v>1.8573699159028974</v>
      </c>
      <c r="V22" s="590">
        <f t="shared" ca="1" si="1"/>
        <v>5.9463875744265176</v>
      </c>
      <c r="W22" s="591">
        <f t="shared" ca="1" si="2"/>
        <v>7.4298078732105797</v>
      </c>
      <c r="X22" s="592">
        <f t="shared" ca="1" si="3"/>
        <v>2.236806227351503</v>
      </c>
    </row>
    <row r="23" spans="4:24" ht="16.2" customHeight="1" thickTop="1" thickBot="1" x14ac:dyDescent="0.35">
      <c r="D23" s="112"/>
      <c r="E23" s="193">
        <v>2018</v>
      </c>
      <c r="F23" s="194" t="str">
        <f t="shared" ca="1" si="4"/>
        <v>M</v>
      </c>
      <c r="G23" s="589">
        <f ca="1"/>
        <v>0.28353026184451224</v>
      </c>
      <c r="H23" s="589">
        <f ca="1"/>
        <v>0.57527789352146697</v>
      </c>
      <c r="I23" s="589">
        <f ca="1"/>
        <v>1.047457913908495</v>
      </c>
      <c r="J23" s="590">
        <f ca="1"/>
        <v>1.8597545889983613</v>
      </c>
      <c r="K23" s="590">
        <f ca="1"/>
        <v>2.0978113518550088</v>
      </c>
      <c r="L23" s="590">
        <f ca="1"/>
        <v>2.1113429221951221</v>
      </c>
      <c r="M23" s="591">
        <f ca="1"/>
        <v>2.672707853465957</v>
      </c>
      <c r="N23" s="591">
        <f ca="1"/>
        <v>2.909467253988844</v>
      </c>
      <c r="O23" s="591">
        <f ca="1"/>
        <v>1.9206665640363147</v>
      </c>
      <c r="P23" s="592">
        <f ca="1"/>
        <v>1.3942050041683047</v>
      </c>
      <c r="Q23" s="592">
        <f ca="1"/>
        <v>0.62887210860059761</v>
      </c>
      <c r="R23" s="592">
        <f ca="1"/>
        <v>0.30661695739023487</v>
      </c>
      <c r="S23" s="593">
        <f ca="1"/>
        <v>17.807710673973215</v>
      </c>
      <c r="T23" s="195">
        <f t="shared" ca="1" si="5"/>
        <v>1.9309210529763421E-2</v>
      </c>
      <c r="U23" s="589">
        <f t="shared" ca="1" si="0"/>
        <v>1.9062660692744742</v>
      </c>
      <c r="V23" s="590">
        <f t="shared" ca="1" si="1"/>
        <v>6.0689088630484918</v>
      </c>
      <c r="W23" s="591">
        <f t="shared" ca="1" si="2"/>
        <v>7.5028416714911152</v>
      </c>
      <c r="X23" s="592">
        <f t="shared" ca="1" si="3"/>
        <v>2.3296940701591371</v>
      </c>
    </row>
    <row r="24" spans="4:24" ht="16.2" customHeight="1" thickTop="1" thickBot="1" x14ac:dyDescent="0.35">
      <c r="D24" s="112"/>
      <c r="E24" s="193">
        <v>2019</v>
      </c>
      <c r="F24" s="194" t="str">
        <f t="shared" ca="1" si="4"/>
        <v>M</v>
      </c>
      <c r="G24" s="589">
        <f ca="1"/>
        <v>0.36592986618820506</v>
      </c>
      <c r="H24" s="589">
        <f ca="1"/>
        <v>0.61499816779229599</v>
      </c>
      <c r="I24" s="589">
        <f ca="1"/>
        <v>1.0474637897138492</v>
      </c>
      <c r="J24" s="590">
        <f ca="1"/>
        <v>2.0048879920407061</v>
      </c>
      <c r="K24" s="590">
        <f ca="1"/>
        <v>2.1340037146787392</v>
      </c>
      <c r="L24" s="590">
        <f ca="1"/>
        <v>2.0476267775531887</v>
      </c>
      <c r="M24" s="591">
        <f ca="1"/>
        <v>2.7047282957001122</v>
      </c>
      <c r="N24" s="591">
        <f ca="1"/>
        <v>3.0175981568733286</v>
      </c>
      <c r="O24" s="591">
        <f ca="1"/>
        <v>1.9428873105698243</v>
      </c>
      <c r="P24" s="592">
        <f ca="1"/>
        <v>1.4625823828154463</v>
      </c>
      <c r="Q24" s="592">
        <f ca="1"/>
        <v>0.66358639642216688</v>
      </c>
      <c r="R24" s="592">
        <f ca="1"/>
        <v>0.34880326788894356</v>
      </c>
      <c r="S24" s="593">
        <f ca="1"/>
        <v>18.355096118236808</v>
      </c>
      <c r="T24" s="195">
        <f t="shared" ca="1" si="5"/>
        <v>3.073867575036604E-2</v>
      </c>
      <c r="U24" s="589">
        <f t="shared" ca="1" si="0"/>
        <v>2.0283918236943501</v>
      </c>
      <c r="V24" s="590">
        <f t="shared" ca="1" si="1"/>
        <v>6.186518484272634</v>
      </c>
      <c r="W24" s="591">
        <f t="shared" ca="1" si="2"/>
        <v>7.6652137631432655</v>
      </c>
      <c r="X24" s="592">
        <f t="shared" ca="1" si="3"/>
        <v>2.4749720471265566</v>
      </c>
    </row>
    <row r="25" spans="4:24" ht="16.2" customHeight="1" thickTop="1" thickBot="1" x14ac:dyDescent="0.35">
      <c r="D25" s="112"/>
      <c r="E25" s="193">
        <v>2020</v>
      </c>
      <c r="F25" s="194" t="str">
        <f t="shared" ca="1" si="4"/>
        <v>M</v>
      </c>
      <c r="G25" s="589">
        <f ca="1"/>
        <v>0.35782782948550917</v>
      </c>
      <c r="H25" s="589">
        <f ca="1"/>
        <v>0.62806115436838084</v>
      </c>
      <c r="I25" s="589">
        <f ca="1"/>
        <v>0.67539408318259375</v>
      </c>
      <c r="J25" s="590">
        <f ca="1"/>
        <v>5.2018784408773477E-3</v>
      </c>
      <c r="K25" s="590">
        <f ca="1"/>
        <v>6.9835785641729192E-3</v>
      </c>
      <c r="L25" s="590">
        <f ca="1"/>
        <v>1.3644059383232784E-2</v>
      </c>
      <c r="M25" s="591">
        <f ca="1"/>
        <v>0.75991214012940012</v>
      </c>
      <c r="N25" s="591">
        <f ca="1"/>
        <v>1.9757251615175639</v>
      </c>
      <c r="O25" s="591">
        <f ca="1"/>
        <v>1.5789749916956788</v>
      </c>
      <c r="P25" s="592">
        <f ca="1"/>
        <v>1.3995390137748732E-2</v>
      </c>
      <c r="Q25" s="592">
        <f ca="1"/>
        <v>0.17417105967070964</v>
      </c>
      <c r="R25" s="592">
        <f ca="1"/>
        <v>7.5812528325453335E-2</v>
      </c>
      <c r="S25" s="593">
        <f ca="1"/>
        <v>6.2657038549013215</v>
      </c>
      <c r="T25" s="195">
        <f t="shared" ca="1" si="5"/>
        <v>-0.65863955086151815</v>
      </c>
      <c r="U25" s="589">
        <f t="shared" ca="1" si="0"/>
        <v>1.6612830670364838</v>
      </c>
      <c r="V25" s="590">
        <f t="shared" ca="1" si="1"/>
        <v>2.5829516388283048E-2</v>
      </c>
      <c r="W25" s="591">
        <f t="shared" ca="1" si="2"/>
        <v>4.314612293342643</v>
      </c>
      <c r="X25" s="592">
        <f t="shared" ca="1" si="3"/>
        <v>0.26397897813391169</v>
      </c>
    </row>
    <row r="26" spans="4:24" ht="16.2" customHeight="1" thickTop="1" thickBot="1" x14ac:dyDescent="0.35">
      <c r="D26" s="112"/>
      <c r="E26" s="193">
        <v>2021</v>
      </c>
      <c r="F26" s="194" t="str">
        <f t="shared" ca="1" si="4"/>
        <v>M</v>
      </c>
      <c r="G26" s="589">
        <f ca="1"/>
        <v>0</v>
      </c>
      <c r="H26" s="589">
        <f ca="1"/>
        <v>0</v>
      </c>
      <c r="I26" s="589">
        <f ca="1"/>
        <v>0.16674917168862063</v>
      </c>
      <c r="J26" s="590">
        <f ca="1"/>
        <v>1.1605241342088426</v>
      </c>
      <c r="K26" s="590">
        <f ca="1"/>
        <v>1.1392373723742579</v>
      </c>
      <c r="L26" s="590">
        <f ca="1"/>
        <v>1.4410104370870878</v>
      </c>
      <c r="M26" s="591">
        <f ca="1"/>
        <v>2.3059778426868092</v>
      </c>
      <c r="N26" s="591">
        <f ca="1"/>
        <v>3.170567985845103</v>
      </c>
      <c r="O26" s="591">
        <f ca="1"/>
        <v>2.0771574975387694</v>
      </c>
      <c r="P26" s="592">
        <f ca="1"/>
        <v>1.63236747915453</v>
      </c>
      <c r="Q26" s="592">
        <f ca="1"/>
        <v>0.46463817889793702</v>
      </c>
      <c r="R26" s="592">
        <f ca="1"/>
        <v>0.28277021674866487</v>
      </c>
      <c r="S26" s="593">
        <f ca="1"/>
        <v>13.841000316230623</v>
      </c>
      <c r="T26" s="195">
        <f t="shared" ca="1" si="5"/>
        <v>1.209009655859103</v>
      </c>
      <c r="U26" s="589">
        <f t="shared" ca="1" si="0"/>
        <v>0.16674917168862063</v>
      </c>
      <c r="V26" s="590">
        <f t="shared" ca="1" si="1"/>
        <v>3.7407719436701883</v>
      </c>
      <c r="W26" s="591">
        <f t="shared" ca="1" si="2"/>
        <v>7.5537033260706821</v>
      </c>
      <c r="X26" s="592">
        <f t="shared" ca="1" si="3"/>
        <v>2.379775874801132</v>
      </c>
    </row>
    <row r="27" spans="4:24" ht="16.2" customHeight="1" thickTop="1" thickBot="1" x14ac:dyDescent="0.35">
      <c r="D27" s="112"/>
      <c r="E27" s="193">
        <v>2022</v>
      </c>
      <c r="F27" s="194" t="str">
        <f t="shared" ca="1" si="4"/>
        <v>M</v>
      </c>
      <c r="G27" s="589">
        <f ca="1"/>
        <v>0.29934085890216167</v>
      </c>
      <c r="H27" s="589">
        <f ca="1"/>
        <v>0.4947420184974296</v>
      </c>
      <c r="I27" s="589">
        <f ca="1"/>
        <v>1.1138375255217396</v>
      </c>
      <c r="J27" s="590">
        <f ca="1"/>
        <v>1.9617637633248763</v>
      </c>
      <c r="K27" s="590">
        <f ca="1"/>
        <v>2.0243829490118217</v>
      </c>
      <c r="L27" s="590">
        <f ca="1"/>
        <v>2.1170461485303718</v>
      </c>
      <c r="M27" s="591">
        <f ca="1"/>
        <v>2.7611389903594583</v>
      </c>
      <c r="N27" s="591">
        <f ca="1"/>
        <v>2.989271852762827</v>
      </c>
      <c r="O27" s="591">
        <f ca="1"/>
        <v>1.8390957865180311</v>
      </c>
      <c r="P27" s="592">
        <f ca="1"/>
        <v>1.4302379608410252</v>
      </c>
      <c r="Q27" s="592">
        <f ca="1"/>
        <v>0.62150914291616155</v>
      </c>
      <c r="R27" s="592">
        <f ca="1"/>
        <v>0.30555056559562327</v>
      </c>
      <c r="S27" s="593">
        <f ca="1"/>
        <v>17.957917562781528</v>
      </c>
      <c r="T27" s="195">
        <f t="shared" ca="1" si="5"/>
        <v>0.29744362058305929</v>
      </c>
      <c r="U27" s="589">
        <f t="shared" ca="1" si="0"/>
        <v>1.9079204029213308</v>
      </c>
      <c r="V27" s="590">
        <f t="shared" ca="1" si="1"/>
        <v>6.10319286086707</v>
      </c>
      <c r="W27" s="591">
        <f t="shared" ca="1" si="2"/>
        <v>7.5895066296403169</v>
      </c>
      <c r="X27" s="592">
        <f t="shared" ca="1" si="3"/>
        <v>2.35729766935281</v>
      </c>
    </row>
    <row r="28" spans="4:24" ht="16.2" customHeight="1" thickTop="1" thickBot="1" x14ac:dyDescent="0.35">
      <c r="D28" s="112"/>
      <c r="E28" s="867" t="str">
        <f ca="1">$A$1</f>
        <v>VISITOR DAYS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DAYS'!$G$29:$R$29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DAYS'!$G$30:$R$30</v>
      </c>
      <c r="E30" s="200" t="str">
        <f>IF(TYPE.userselected="SFR",TYPE.userselected,PROPER(VISTYPE.short))</f>
        <v>Total</v>
      </c>
      <c r="F30" s="194" t="str">
        <f ca="1">$F$16</f>
        <v>M</v>
      </c>
      <c r="G30" s="587">
        <f t="array" ref="G30:R30" ca="1">TD.SHARE_VT_ANN</f>
        <v>14.432313629887423</v>
      </c>
      <c r="H30" s="587">
        <f ca="1"/>
        <v>15.505076555463541</v>
      </c>
      <c r="I30" s="587">
        <f ca="1"/>
        <v>16.162963601235592</v>
      </c>
      <c r="J30" s="587">
        <f ca="1"/>
        <v>16.39642157358421</v>
      </c>
      <c r="K30" s="587">
        <f ca="1"/>
        <v>17.144143912264582</v>
      </c>
      <c r="L30" s="587">
        <f ca="1"/>
        <v>16.967380704366583</v>
      </c>
      <c r="M30" s="587">
        <f ca="1"/>
        <v>17.470371590891492</v>
      </c>
      <c r="N30" s="587">
        <f ca="1"/>
        <v>17.807710673973215</v>
      </c>
      <c r="O30" s="587">
        <f ca="1"/>
        <v>18.355096118236808</v>
      </c>
      <c r="P30" s="587">
        <f ca="1"/>
        <v>6.2657038549013215</v>
      </c>
      <c r="Q30" s="587">
        <f ca="1"/>
        <v>13.841000316230623</v>
      </c>
      <c r="R30" s="587">
        <f ca="1"/>
        <v>17.957917562781528</v>
      </c>
      <c r="S30" s="201"/>
      <c r="T30" s="199"/>
      <c r="U30" s="199"/>
      <c r="V30" s="199"/>
      <c r="W30" s="199"/>
      <c r="X30" s="199"/>
    </row>
    <row r="31" spans="4:24" ht="16.2" customHeight="1" thickTop="1" thickBot="1" x14ac:dyDescent="0.35">
      <c r="D31" s="196" t="str">
        <f t="shared" ca="1" si="6"/>
        <v>'VISITOR DAYS'!$G$31:$R$31</v>
      </c>
      <c r="E31" s="200" t="s">
        <v>96</v>
      </c>
      <c r="F31" s="194" t="str">
        <f>IF($A$4=1,"000s",IF(A4=1000,"M","Bn"))</f>
        <v>M</v>
      </c>
      <c r="G31" s="588">
        <f t="array" aca="1" ref="G31:R31" ca="1">TD.SHARE_TOTAL_ANN</f>
        <v>14.432313629887423</v>
      </c>
      <c r="H31" s="588">
        <f ca="1"/>
        <v>15.505076555463541</v>
      </c>
      <c r="I31" s="588">
        <f ca="1"/>
        <v>16.162963601235592</v>
      </c>
      <c r="J31" s="588">
        <f ca="1"/>
        <v>16.39642157358421</v>
      </c>
      <c r="K31" s="588">
        <f ca="1"/>
        <v>17.144143912264582</v>
      </c>
      <c r="L31" s="588">
        <f ca="1"/>
        <v>16.967380704366583</v>
      </c>
      <c r="M31" s="588">
        <f ca="1"/>
        <v>17.470371590891492</v>
      </c>
      <c r="N31" s="588">
        <f ca="1"/>
        <v>17.807710673973215</v>
      </c>
      <c r="O31" s="588">
        <f ca="1"/>
        <v>18.355096118236808</v>
      </c>
      <c r="P31" s="588">
        <f ca="1"/>
        <v>6.2657038549013215</v>
      </c>
      <c r="Q31" s="588">
        <f ca="1"/>
        <v>13.841000316230623</v>
      </c>
      <c r="R31" s="588">
        <f ca="1"/>
        <v>17.957917562781528</v>
      </c>
      <c r="S31" s="202"/>
      <c r="T31" s="199"/>
      <c r="U31" s="199"/>
      <c r="V31" s="199"/>
      <c r="W31" s="199"/>
      <c r="X31" s="199"/>
    </row>
    <row r="32" spans="4:24" ht="16.2" customHeight="1" thickTop="1" thickBot="1" x14ac:dyDescent="0.35">
      <c r="D32" s="196" t="str">
        <f t="shared" ca="1" si="6"/>
        <v>'VISITOR DAYS'!$G$32:$R$32</v>
      </c>
      <c r="E32" s="200" t="s">
        <v>121</v>
      </c>
      <c r="F32" s="194" t="s">
        <v>117</v>
      </c>
      <c r="G32" s="135">
        <f t="array" ref="G32:R32" ca="1">IFERROR((TD.SHARE_VT_ANN*$A$2)/(TD.SHARE_TOTAL_ANN*$A$4),"")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DAYS'!$G$33:$R$33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DAYS'!$G$34:$R$34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DAYS'!$G$35:$R$35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Ed5tGXXx94AIv6gvrPVCww4UUJ9SVq0TyjzMwONyjPJZToyy2Ub80XmYeCEar5lp40YZXf/c/GooEDvGxUa7sg==" saltValue="hPYXqlgHt1NxKo58xBN1wA==" spinCount="100000" sheet="1" objects="1" scenarios="1"/>
  <mergeCells count="26">
    <mergeCell ref="E29:F29"/>
    <mergeCell ref="E10:F10"/>
    <mergeCell ref="G10:R10"/>
    <mergeCell ref="S10:S12"/>
    <mergeCell ref="T10:T12"/>
    <mergeCell ref="E11:F11"/>
    <mergeCell ref="G11:I11"/>
    <mergeCell ref="J11:L11"/>
    <mergeCell ref="M11:O11"/>
    <mergeCell ref="P11:R11"/>
    <mergeCell ref="E12:F12"/>
    <mergeCell ref="E28:R28"/>
    <mergeCell ref="S28:X28"/>
    <mergeCell ref="S6:T7"/>
    <mergeCell ref="U6:X7"/>
    <mergeCell ref="E13:F13"/>
    <mergeCell ref="T13:T16"/>
    <mergeCell ref="E14:F14"/>
    <mergeCell ref="E15:F15"/>
    <mergeCell ref="E8:F8"/>
    <mergeCell ref="G8:R8"/>
    <mergeCell ref="S8:T9"/>
    <mergeCell ref="P6:R7"/>
    <mergeCell ref="U8:X11"/>
    <mergeCell ref="E9:F9"/>
    <mergeCell ref="G9:R9"/>
  </mergeCells>
  <conditionalFormatting sqref="E16:X27">
    <cfRule type="expression" dxfId="91" priority="8">
      <formula>$E16=0</formula>
    </cfRule>
  </conditionalFormatting>
  <conditionalFormatting sqref="F30:F36">
    <cfRule type="expression" dxfId="90" priority="50">
      <formula>$E30=0</formula>
    </cfRule>
  </conditionalFormatting>
  <conditionalFormatting sqref="G9:R9">
    <cfRule type="expression" dxfId="89" priority="16">
      <formula>TYPE.no=6</formula>
    </cfRule>
    <cfRule type="expression" dxfId="88" priority="17">
      <formula>TYPE.no=5</formula>
    </cfRule>
    <cfRule type="expression" dxfId="87" priority="18">
      <formula>TYPE.no=4</formula>
    </cfRule>
    <cfRule type="expression" dxfId="86" priority="19">
      <formula>TYPE.no=3</formula>
    </cfRule>
    <cfRule type="expression" dxfId="85" priority="20">
      <formula>TYPE.no=2</formula>
    </cfRule>
    <cfRule type="expression" dxfId="84" priority="21">
      <formula>TYPE.no=1</formula>
    </cfRule>
  </conditionalFormatting>
  <conditionalFormatting sqref="G13:S15">
    <cfRule type="expression" priority="4" stopIfTrue="1">
      <formula>G13=""</formula>
    </cfRule>
    <cfRule type="cellIs" dxfId="83" priority="5" operator="lessThanOrEqual">
      <formula>-REP.percenthighlight</formula>
    </cfRule>
    <cfRule type="cellIs" dxfId="82" priority="6" operator="greaterThanOrEqual">
      <formula>REP.percenthighlight</formula>
    </cfRule>
  </conditionalFormatting>
  <conditionalFormatting sqref="G16:S27 U16:X27 G30:R31">
    <cfRule type="expression" dxfId="81" priority="7">
      <formula>$A$2=1</formula>
    </cfRule>
    <cfRule type="expression" dxfId="80" priority="33">
      <formula>AND($A$2&gt;1,G16&lt;10)</formula>
    </cfRule>
  </conditionalFormatting>
  <conditionalFormatting sqref="G30:S34 H35:S36">
    <cfRule type="expression" dxfId="79" priority="43" stopIfTrue="1">
      <formula>G$29=0</formula>
    </cfRule>
  </conditionalFormatting>
  <conditionalFormatting sqref="G33:S34">
    <cfRule type="cellIs" dxfId="78" priority="46" operator="lessThanOrEqual">
      <formula>-REP.percenthighlight</formula>
    </cfRule>
    <cfRule type="cellIs" dxfId="77" priority="47" operator="greaterThanOrEqual">
      <formula>REP.percenthighlight</formula>
    </cfRule>
  </conditionalFormatting>
  <conditionalFormatting sqref="H35:S36">
    <cfRule type="cellIs" dxfId="76" priority="44" operator="lessThanOrEqual">
      <formula>-REP.percenthighlight</formula>
    </cfRule>
    <cfRule type="cellIs" dxfId="75" priority="45" operator="greaterThanOrEqual">
      <formula>REP.percenthighlight</formula>
    </cfRule>
  </conditionalFormatting>
  <conditionalFormatting sqref="I29:S29">
    <cfRule type="expression" dxfId="74" priority="48">
      <formula>I29=0</formula>
    </cfRule>
  </conditionalFormatting>
  <conditionalFormatting sqref="S6:T7">
    <cfRule type="expression" dxfId="73" priority="22">
      <formula>TYPE.no=6</formula>
    </cfRule>
    <cfRule type="expression" dxfId="72" priority="23">
      <formula>TYPE.no=5</formula>
    </cfRule>
    <cfRule type="expression" dxfId="71" priority="24">
      <formula>TYPE.no=4</formula>
    </cfRule>
    <cfRule type="expression" dxfId="70" priority="25">
      <formula>TYPE.no=3</formula>
    </cfRule>
    <cfRule type="expression" dxfId="69" priority="26">
      <formula>TYPE.no=2</formula>
    </cfRule>
    <cfRule type="expression" dxfId="68" priority="27">
      <formula>TYPE.no=1</formula>
    </cfRule>
  </conditionalFormatting>
  <conditionalFormatting sqref="S28:X28">
    <cfRule type="expression" dxfId="67" priority="10">
      <formula>TYPE.no=6</formula>
    </cfRule>
    <cfRule type="expression" dxfId="66" priority="11">
      <formula>TYPE.no=5</formula>
    </cfRule>
    <cfRule type="expression" dxfId="65" priority="12">
      <formula>TYPE.no=4</formula>
    </cfRule>
    <cfRule type="expression" dxfId="64" priority="13">
      <formula>TYPE.no=3</formula>
    </cfRule>
    <cfRule type="expression" dxfId="63" priority="14">
      <formula>TYPE.no=2</formula>
    </cfRule>
    <cfRule type="expression" dxfId="62" priority="15">
      <formula>TYPE.no=1</formula>
    </cfRule>
  </conditionalFormatting>
  <conditionalFormatting sqref="T17:T27">
    <cfRule type="cellIs" dxfId="61" priority="30" operator="greaterThanOrEqual">
      <formula>REP.percenthighlight</formula>
    </cfRule>
    <cfRule type="cellIs" dxfId="60" priority="31" operator="lessThanOrEqual">
      <formula>-REP.percenthighlight</formula>
    </cfRule>
  </conditionalFormatting>
  <conditionalFormatting sqref="U13:X15">
    <cfRule type="cellIs" dxfId="59" priority="2" operator="lessThanOrEqual">
      <formula>-REP.percenthighlight</formula>
    </cfRule>
    <cfRule type="cellIs" dxfId="58"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27" width="7.6640625" style="39" bestFit="1" customWidth="1"/>
    <col min="28" max="16384" width="4.88671875" style="39"/>
  </cols>
  <sheetData>
    <row r="1" spans="1:27" ht="16.2" hidden="1" customHeight="1" x14ac:dyDescent="0.3">
      <c r="A1" s="37" t="str">
        <f ca="1">MID(CELL("filename",A1),FIND("]",CELL("filename",A1))+1,255)</f>
        <v>EMPLOYMENT</v>
      </c>
      <c r="E1" s="53"/>
      <c r="F1" s="54"/>
      <c r="G1" s="54"/>
      <c r="H1" s="54"/>
      <c r="I1" s="54"/>
      <c r="J1" s="54"/>
      <c r="K1" s="54"/>
      <c r="L1" s="54"/>
      <c r="M1" s="54"/>
      <c r="N1" s="54"/>
      <c r="O1" s="54"/>
      <c r="P1" s="54"/>
      <c r="Q1" s="54"/>
      <c r="R1" s="54"/>
      <c r="S1" s="54"/>
      <c r="T1" s="54"/>
      <c r="U1" s="54"/>
      <c r="V1" s="54"/>
      <c r="W1" s="54"/>
      <c r="X1" s="55"/>
    </row>
    <row r="2" spans="1:27" ht="16.2" customHeight="1" thickTop="1" x14ac:dyDescent="0.3">
      <c r="A2" s="618"/>
      <c r="B2" s="618"/>
      <c r="C2" s="618"/>
      <c r="D2" s="622"/>
      <c r="E2" s="44"/>
      <c r="F2" s="45"/>
      <c r="G2" s="45"/>
      <c r="H2" s="45"/>
      <c r="I2" s="45"/>
      <c r="J2" s="45"/>
      <c r="K2" s="45"/>
      <c r="L2" s="45"/>
      <c r="M2" s="45"/>
      <c r="N2" s="45"/>
      <c r="O2" s="45"/>
      <c r="P2" s="45"/>
      <c r="Q2" s="45"/>
      <c r="R2" s="45"/>
      <c r="S2" s="45"/>
      <c r="T2" s="45"/>
      <c r="U2" s="45"/>
      <c r="V2" s="45"/>
      <c r="W2" s="45"/>
      <c r="X2" s="46"/>
    </row>
    <row r="3" spans="1:27" ht="26.4" customHeight="1" x14ac:dyDescent="0.3">
      <c r="A3" s="618"/>
      <c r="B3" s="618"/>
      <c r="C3" s="618"/>
      <c r="D3" s="622"/>
      <c r="E3" s="47"/>
      <c r="F3" s="43"/>
      <c r="G3" s="43"/>
      <c r="H3" s="43"/>
      <c r="I3" s="43"/>
      <c r="J3" s="43"/>
      <c r="K3" s="43"/>
      <c r="L3" s="43"/>
      <c r="M3" s="43"/>
      <c r="N3" s="43"/>
      <c r="O3" s="43"/>
      <c r="P3" s="43"/>
      <c r="Q3" s="43"/>
      <c r="R3" s="43"/>
      <c r="S3" s="43"/>
      <c r="T3" s="43"/>
      <c r="U3" s="43"/>
      <c r="V3" s="43"/>
      <c r="W3" s="43"/>
      <c r="X3" s="48"/>
    </row>
    <row r="4" spans="1:27" ht="26.4" customHeight="1" x14ac:dyDescent="0.3">
      <c r="A4" s="618"/>
      <c r="B4" s="618"/>
      <c r="C4" s="618"/>
      <c r="D4" s="622"/>
      <c r="E4" s="58"/>
      <c r="F4" s="59"/>
      <c r="G4" s="59"/>
      <c r="H4" s="59"/>
      <c r="I4" s="59"/>
      <c r="J4" s="59"/>
      <c r="K4" s="59"/>
      <c r="L4" s="59"/>
      <c r="M4" s="59"/>
      <c r="N4" s="59"/>
      <c r="O4" s="59"/>
      <c r="P4" s="59"/>
      <c r="Q4" s="59"/>
      <c r="R4" s="59"/>
      <c r="S4" s="59"/>
      <c r="T4" s="59"/>
      <c r="U4" s="59"/>
      <c r="V4" s="59"/>
      <c r="W4" s="59"/>
      <c r="X4" s="60"/>
    </row>
    <row r="5" spans="1:27" ht="26.4" customHeight="1" thickBot="1" x14ac:dyDescent="0.35">
      <c r="A5" s="618"/>
      <c r="B5" s="618"/>
      <c r="C5" s="618"/>
      <c r="D5" s="622"/>
      <c r="E5" s="50"/>
      <c r="F5" s="51"/>
      <c r="G5" s="51"/>
      <c r="H5" s="51"/>
      <c r="I5" s="51"/>
      <c r="J5" s="51"/>
      <c r="K5" s="51"/>
      <c r="L5" s="51"/>
      <c r="M5" s="51"/>
      <c r="N5" s="51"/>
      <c r="O5" s="51"/>
      <c r="P5" s="51"/>
      <c r="Q5" s="51"/>
      <c r="R5" s="51"/>
      <c r="S5" s="51"/>
      <c r="T5" s="51"/>
      <c r="U5" s="51"/>
      <c r="V5" s="51"/>
      <c r="W5" s="51"/>
      <c r="X5" s="52"/>
    </row>
    <row r="6" spans="1:27" ht="16.2" customHeight="1" thickTop="1" x14ac:dyDescent="0.3">
      <c r="E6" s="399" t="str">
        <f>REP.title1</f>
        <v>STEAM FINAL TREND REPORT FOR 2011-2022</v>
      </c>
      <c r="F6" s="400"/>
      <c r="G6" s="400"/>
      <c r="H6" s="400"/>
      <c r="I6" s="400"/>
      <c r="J6" s="400"/>
      <c r="K6" s="400"/>
      <c r="L6" s="400"/>
      <c r="M6" s="400"/>
      <c r="N6" s="400"/>
      <c r="O6" s="401"/>
      <c r="P6" s="1091" t="str">
        <f>MIN(REP.yearsrange)&amp;" to "&amp;MAX(REP.yearsrange)</f>
        <v>2011 to 2022</v>
      </c>
      <c r="Q6" s="1092"/>
      <c r="R6" s="1093"/>
      <c r="S6" s="929" t="str">
        <f>UPPER(VISTYPE.short)</f>
        <v>TOTAL</v>
      </c>
      <c r="T6" s="930"/>
      <c r="U6" s="1070" t="str">
        <f ca="1">IF(TYPE.no=1,"TOTAL "&amp;$A$1,"DIRECT "&amp;$A$1)</f>
        <v>TOTAL EMPLOYMENT</v>
      </c>
      <c r="V6" s="1071"/>
      <c r="W6" s="1071"/>
      <c r="X6" s="1072"/>
    </row>
    <row r="7" spans="1:27" ht="16.2" customHeight="1" thickBot="1" x14ac:dyDescent="0.35">
      <c r="E7" s="402" t="str">
        <f>REP.title2</f>
        <v>CONWY COUNTY BOROUGH COUNCIL</v>
      </c>
      <c r="F7" s="403"/>
      <c r="G7" s="403"/>
      <c r="H7" s="403"/>
      <c r="I7" s="404"/>
      <c r="J7" s="404"/>
      <c r="K7" s="404"/>
      <c r="L7" s="404"/>
      <c r="M7" s="404"/>
      <c r="N7" s="404"/>
      <c r="O7" s="405"/>
      <c r="P7" s="1094"/>
      <c r="Q7" s="1095"/>
      <c r="R7" s="1096"/>
      <c r="S7" s="931"/>
      <c r="T7" s="932"/>
      <c r="U7" s="1073"/>
      <c r="V7" s="1074"/>
      <c r="W7" s="1074"/>
      <c r="X7" s="1075"/>
    </row>
    <row r="8" spans="1:27" ht="16.2" customHeight="1" thickTop="1" thickBot="1" x14ac:dyDescent="0.35">
      <c r="E8" s="1046" t="str">
        <f ca="1">$A$1&amp;" BY:"</f>
        <v>EMPLOYMENT BY:</v>
      </c>
      <c r="F8" s="1048"/>
      <c r="G8" s="1046" t="s">
        <v>132</v>
      </c>
      <c r="H8" s="1047"/>
      <c r="I8" s="1047"/>
      <c r="J8" s="1047"/>
      <c r="K8" s="1047"/>
      <c r="L8" s="1047"/>
      <c r="M8" s="1047"/>
      <c r="N8" s="1047"/>
      <c r="O8" s="1047"/>
      <c r="P8" s="1047"/>
      <c r="Q8" s="1047"/>
      <c r="R8" s="1047"/>
      <c r="S8" s="1076" t="s">
        <v>123</v>
      </c>
      <c r="T8" s="1077"/>
      <c r="U8" s="1080" t="s">
        <v>124</v>
      </c>
      <c r="V8" s="1081"/>
      <c r="W8" s="1081"/>
      <c r="X8" s="1082"/>
    </row>
    <row r="9" spans="1:27" s="35" customFormat="1" ht="16.2" customHeight="1" thickTop="1" thickBot="1" x14ac:dyDescent="0.35">
      <c r="E9" s="1089" t="s">
        <v>90</v>
      </c>
      <c r="F9" s="1090"/>
      <c r="G9" s="998" t="str">
        <f>UPPER(TYPE.userselected)</f>
        <v>TOTAL</v>
      </c>
      <c r="H9" s="998"/>
      <c r="I9" s="998"/>
      <c r="J9" s="998"/>
      <c r="K9" s="998"/>
      <c r="L9" s="998"/>
      <c r="M9" s="998"/>
      <c r="N9" s="998"/>
      <c r="O9" s="998"/>
      <c r="P9" s="998"/>
      <c r="Q9" s="998"/>
      <c r="R9" s="999"/>
      <c r="S9" s="1078"/>
      <c r="T9" s="1079"/>
      <c r="U9" s="1083"/>
      <c r="V9" s="1084"/>
      <c r="W9" s="1084"/>
      <c r="X9" s="1085"/>
    </row>
    <row r="10" spans="1:27" s="35" customFormat="1" ht="16.2" customHeight="1" thickTop="1" thickBot="1" x14ac:dyDescent="0.35">
      <c r="E10" s="1044" t="str">
        <f>REP.highlightup</f>
        <v>An increase of 3% or more</v>
      </c>
      <c r="F10" s="1045"/>
      <c r="G10" s="1046" t="str">
        <f ca="1">U6&amp;" IN FULL TIME EQUIVALENTS (FTEs) / PERCENTAGE CHANGES"</f>
        <v>TOTAL EMPLOYMENT IN FULL TIME EQUIVALENTS (FTEs) / PERCENTAGE CHANGES</v>
      </c>
      <c r="H10" s="1047"/>
      <c r="I10" s="1047"/>
      <c r="J10" s="1047"/>
      <c r="K10" s="1047"/>
      <c r="L10" s="1047"/>
      <c r="M10" s="1047"/>
      <c r="N10" s="1047"/>
      <c r="O10" s="1047"/>
      <c r="P10" s="1047"/>
      <c r="Q10" s="1047"/>
      <c r="R10" s="1048"/>
      <c r="S10" s="1049" t="s">
        <v>38</v>
      </c>
      <c r="T10" s="1049" t="s">
        <v>118</v>
      </c>
      <c r="U10" s="1083"/>
      <c r="V10" s="1084"/>
      <c r="W10" s="1084"/>
      <c r="X10" s="1085"/>
    </row>
    <row r="11" spans="1:27" s="35" customFormat="1" ht="16.2" customHeight="1" thickTop="1" thickBot="1" x14ac:dyDescent="0.35">
      <c r="E11" s="1052" t="str">
        <f>REP.highlightsame</f>
        <v>Less than 3% change</v>
      </c>
      <c r="F11" s="1053"/>
      <c r="G11" s="1054" t="s">
        <v>91</v>
      </c>
      <c r="H11" s="1055"/>
      <c r="I11" s="1056"/>
      <c r="J11" s="1057" t="s">
        <v>92</v>
      </c>
      <c r="K11" s="1058"/>
      <c r="L11" s="1059"/>
      <c r="M11" s="1060" t="s">
        <v>93</v>
      </c>
      <c r="N11" s="1061"/>
      <c r="O11" s="1062"/>
      <c r="P11" s="1063" t="s">
        <v>94</v>
      </c>
      <c r="Q11" s="1064"/>
      <c r="R11" s="1065"/>
      <c r="S11" s="1050"/>
      <c r="T11" s="1050"/>
      <c r="U11" s="1086"/>
      <c r="V11" s="1087"/>
      <c r="W11" s="1087"/>
      <c r="X11" s="1088"/>
    </row>
    <row r="12" spans="1:27" ht="16.2" customHeight="1" thickTop="1" thickBot="1" x14ac:dyDescent="0.35">
      <c r="E12" s="1066" t="str">
        <f>REP.highlightdown</f>
        <v>A Fall of 3% or more</v>
      </c>
      <c r="F12" s="1067"/>
      <c r="G12" s="66" t="s">
        <v>26</v>
      </c>
      <c r="H12" s="66" t="s">
        <v>27</v>
      </c>
      <c r="I12" s="66" t="s">
        <v>28</v>
      </c>
      <c r="J12" s="67" t="s">
        <v>29</v>
      </c>
      <c r="K12" s="67" t="s">
        <v>30</v>
      </c>
      <c r="L12" s="67" t="s">
        <v>31</v>
      </c>
      <c r="M12" s="65" t="s">
        <v>32</v>
      </c>
      <c r="N12" s="65" t="s">
        <v>33</v>
      </c>
      <c r="O12" s="65" t="s">
        <v>34</v>
      </c>
      <c r="P12" s="64" t="s">
        <v>35</v>
      </c>
      <c r="Q12" s="64" t="s">
        <v>36</v>
      </c>
      <c r="R12" s="64" t="s">
        <v>37</v>
      </c>
      <c r="S12" s="1051"/>
      <c r="T12" s="1051"/>
      <c r="U12" s="68" t="s">
        <v>91</v>
      </c>
      <c r="V12" s="69" t="s">
        <v>92</v>
      </c>
      <c r="W12" s="70" t="s">
        <v>93</v>
      </c>
      <c r="X12" s="71" t="s">
        <v>94</v>
      </c>
    </row>
    <row r="13" spans="1:27" ht="16.2" customHeight="1" thickTop="1" thickBot="1" x14ac:dyDescent="0.35">
      <c r="E13" s="1068" t="str">
        <f>"% Change "&amp;MIN(REP.yearsrange)&amp;" to "&amp;MAX(REP.yearsrange)</f>
        <v>% Change 2011 to 2022</v>
      </c>
      <c r="F13" s="1068"/>
      <c r="G13" s="135">
        <f ca="1">IFERROR(INDEX(G$16:G$27,MATCH(MAX(REP.yearsrange),$E$16:$E$27,0))/INDEX(G$16:G$27,MATCH(MIN(REP.yearsrange),$E$16:$E$27,0))-1,"")</f>
        <v>0.21506863736972104</v>
      </c>
      <c r="H13" s="135">
        <f ca="1">IFERROR(INDEX(H$16:H$27,MATCH(MAX(REP.yearsrange),$E$16:$E$27,0))/INDEX(H$16:H$27,MATCH(MIN(REP.yearsrange),$E$16:$E$27,0))-1,"")</f>
        <v>3.7838239382956385E-2</v>
      </c>
      <c r="I13" s="135">
        <f ca="1">IFERROR(INDEX(I$16:I$27,MATCH(MAX(REP.yearsrange),$E$16:$E$27,0))/INDEX(I$16:I$27,MATCH(MIN(REP.yearsrange),$E$16:$E$27,0))-1,"")</f>
        <v>0.15185145424020252</v>
      </c>
      <c r="J13" s="135">
        <f ca="1">IFERROR(INDEX(J$16:J$27,MATCH(MAX(REP.yearsrange),$E$16:$E$27,0))/INDEX(J$16:J$27,MATCH(MIN(REP.yearsrange),$E$16:$E$27,0))-1,"")</f>
        <v>2.215246656160974E-2</v>
      </c>
      <c r="K13" s="135">
        <f ca="1">IFERROR(INDEX(K$16:K$27,MATCH(MAX(REP.yearsrange),$E$16:$E$27,0))/INDEX(K$16:K$27,MATCH(MIN(REP.yearsrange),$E$16:$E$27,0))-1,"")</f>
        <v>9.1980496050245719E-2</v>
      </c>
      <c r="L13" s="135">
        <f ca="1">IFERROR(INDEX(L$16:L$27,MATCH(MAX(REP.yearsrange),$E$16:$E$27,0))/INDEX(L$16:L$27,MATCH(MIN(REP.yearsrange),$E$16:$E$27,0))-1,"")</f>
        <v>0.11106635954649646</v>
      </c>
      <c r="M13" s="135">
        <f ca="1">IFERROR(INDEX(M$16:M$27,MATCH(MAX(REP.yearsrange),$E$16:$E$27,0))/INDEX(M$16:M$27,MATCH(MIN(REP.yearsrange),$E$16:$E$27,0))-1,"")</f>
        <v>0.17436262137841685</v>
      </c>
      <c r="N13" s="135">
        <f ca="1">IFERROR(INDEX(N$16:N$27,MATCH(MAX(REP.yearsrange),$E$16:$E$27,0))/INDEX(N$16:N$27,MATCH(MIN(REP.yearsrange),$E$16:$E$27,0))-1,"")</f>
        <v>6.8441894216158872E-2</v>
      </c>
      <c r="O13" s="135">
        <f ca="1">IFERROR(INDEX(O$16:O$27,MATCH(MAX(REP.yearsrange),$E$16:$E$27,0))/INDEX(O$16:O$27,MATCH(MIN(REP.yearsrange),$E$16:$E$27,0))-1,"")</f>
        <v>1.4209786180356732E-2</v>
      </c>
      <c r="P13" s="135">
        <f ca="1">IFERROR(INDEX(P$16:P$27,MATCH(MAX(REP.yearsrange),$E$16:$E$27,0))/INDEX(P$16:P$27,MATCH(MIN(REP.yearsrange),$E$16:$E$27,0))-1,"")</f>
        <v>1.0365728174310362E-2</v>
      </c>
      <c r="Q13" s="135">
        <f ca="1">IFERROR(INDEX(Q$16:Q$27,MATCH(MAX(REP.yearsrange),$E$16:$E$27,0))/INDEX(Q$16:Q$27,MATCH(MIN(REP.yearsrange),$E$16:$E$27,0))-1,"")</f>
        <v>0.27656763655523275</v>
      </c>
      <c r="R13" s="135">
        <f ca="1">IFERROR(INDEX(R$16:R$27,MATCH(MAX(REP.yearsrange),$E$16:$E$27,0))/INDEX(R$16:R$27,MATCH(MIN(REP.yearsrange),$E$16:$E$27,0))-1,"")</f>
        <v>0.10837674976925338</v>
      </c>
      <c r="S13" s="135">
        <f ca="1">IFERROR(INDEX(S$16:S$27,MATCH(MAX(REP.yearsrange),$E$16:$E$27,0))/INDEX(S$16:S$27,MATCH(MIN(REP.yearsrange),$E$16:$E$27,0))-1,"")</f>
        <v>9.1026265838308307E-2</v>
      </c>
      <c r="T13" s="1069" t="str">
        <f>"Annual"&amp;CHAR(10)&amp;"Change"</f>
        <v>Annual
Change</v>
      </c>
      <c r="U13" s="135">
        <f ca="1">IFERROR(INDEX(U$16:U$27,MATCH(MAX(REP.yearsrange),$E$16:$E$27,0))/INDEX(U$16:U$27,MATCH(MIN(REP.yearsrange),$E$16:$E$27,0))-1,"")</f>
        <v>0.12814054042154677</v>
      </c>
      <c r="V13" s="135">
        <f ca="1">IFERROR(INDEX(V$16:V$27,MATCH(MAX(REP.yearsrange),$E$16:$E$27,0))/INDEX(V$16:V$27,MATCH(MIN(REP.yearsrange),$E$16:$E$27,0))-1,"")</f>
        <v>7.45908620460356E-2</v>
      </c>
      <c r="W13" s="135">
        <f ca="1">IFERROR(INDEX(W$16:W$27,MATCH(MAX(REP.yearsrange),$E$16:$E$27,0))/INDEX(W$16:W$27,MATCH(MIN(REP.yearsrange),$E$16:$E$27,0))-1,"")</f>
        <v>8.8888145786738537E-2</v>
      </c>
      <c r="X13" s="135">
        <f ca="1">IFERROR(INDEX(X$16:X$27,MATCH(MAX(REP.yearsrange),$E$16:$E$27,0))/INDEX(X$16:X$27,MATCH(MIN(REP.yearsrange),$E$16:$E$27,0))-1,"")</f>
        <v>9.765223021462055E-2</v>
      </c>
    </row>
    <row r="14" spans="1:27" ht="16.2" customHeight="1" thickTop="1" thickBot="1" x14ac:dyDescent="0.35">
      <c r="E14" s="1068" t="str">
        <f>"% Change "&amp;INDEX(REP.yearsrange,COUNT(REP.yearsrange)-1)&amp;" to "&amp;MAX(REP.yearsrange)</f>
        <v>% Change 2021 to 2022</v>
      </c>
      <c r="F14" s="1068"/>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6.6451009986720795</v>
      </c>
      <c r="J14" s="135">
        <f ca="1">IFERROR(INDEX(J$16:J$27,MATCH(MAX(REP.yearsrange),$E$16:$E$27,0))/INDEX(J$16:J$27,MATCH(INDEX(REP.yearsrange,COUNT(REP.yearsrange)-1),$E$16:$E$27,0))-1,"")</f>
        <v>2.3125225953923971</v>
      </c>
      <c r="K14" s="135">
        <f ca="1">IFERROR(INDEX(K$16:K$27,MATCH(MAX(REP.yearsrange),$E$16:$E$27,0))/INDEX(K$16:K$27,MATCH(INDEX(REP.yearsrange,COUNT(REP.yearsrange)-1),$E$16:$E$27,0))-1,"")</f>
        <v>1.7497492722278838</v>
      </c>
      <c r="L14" s="135">
        <f ca="1">IFERROR(INDEX(L$16:L$27,MATCH(MAX(REP.yearsrange),$E$16:$E$27,0))/INDEX(L$16:L$27,MATCH(INDEX(REP.yearsrange,COUNT(REP.yearsrange)-1),$E$16:$E$27,0))-1,"")</f>
        <v>0.20866480892943651</v>
      </c>
      <c r="M14" s="135">
        <f ca="1">IFERROR(INDEX(M$16:M$27,MATCH(MAX(REP.yearsrange),$E$16:$E$27,0))/INDEX(M$16:M$27,MATCH(INDEX(REP.yearsrange,COUNT(REP.yearsrange)-1),$E$16:$E$27,0))-1,"")</f>
        <v>5.3944944627475566E-2</v>
      </c>
      <c r="N14" s="135">
        <f ca="1">IFERROR(INDEX(N$16:N$27,MATCH(MAX(REP.yearsrange),$E$16:$E$27,0))/INDEX(N$16:N$27,MATCH(INDEX(REP.yearsrange,COUNT(REP.yearsrange)-1),$E$16:$E$27,0))-1,"")</f>
        <v>-9.9181141938746609E-2</v>
      </c>
      <c r="O14" s="135">
        <f ca="1">IFERROR(INDEX(O$16:O$27,MATCH(MAX(REP.yearsrange),$E$16:$E$27,0))/INDEX(O$16:O$27,MATCH(INDEX(REP.yearsrange,COUNT(REP.yearsrange)-1),$E$16:$E$27,0))-1,"")</f>
        <v>-0.12913708967445325</v>
      </c>
      <c r="P14" s="135">
        <f ca="1">IFERROR(INDEX(P$16:P$27,MATCH(MAX(REP.yearsrange),$E$16:$E$27,0))/INDEX(P$16:P$27,MATCH(INDEX(REP.yearsrange,COUNT(REP.yearsrange)-1),$E$16:$E$27,0))-1,"")</f>
        <v>-0.11940456465025373</v>
      </c>
      <c r="Q14" s="135">
        <f ca="1">IFERROR(INDEX(Q$16:Q$27,MATCH(MAX(REP.yearsrange),$E$16:$E$27,0))/INDEX(Q$16:Q$27,MATCH(INDEX(REP.yearsrange,COUNT(REP.yearsrange)-1),$E$16:$E$27,0))-1,"")</f>
        <v>8.9390525409628108E-2</v>
      </c>
      <c r="R14" s="135">
        <f ca="1">IFERROR(INDEX(R$16:R$27,MATCH(MAX(REP.yearsrange),$E$16:$E$27,0))/INDEX(R$16:R$27,MATCH(INDEX(REP.yearsrange,COUNT(REP.yearsrange)-1),$E$16:$E$27,0))-1,"")</f>
        <v>1.9479126371386712E-3</v>
      </c>
      <c r="S14" s="135">
        <f ca="1">IFERROR(INDEX(S$16:S$27,MATCH(MAX(REP.yearsrange),$E$16:$E$27,0))/INDEX(S$16:S$27,MATCH(INDEX(REP.yearsrange,COUNT(REP.yearsrange)-1),$E$16:$E$27,0))-1,"")</f>
        <v>0.35164541534456251</v>
      </c>
      <c r="T14" s="1069"/>
      <c r="U14" s="135">
        <f ca="1">IFERROR(INDEX(U$16:U$27,MATCH(MAX(REP.yearsrange),$E$16:$E$27,0))/INDEX(U$16:U$27,MATCH(INDEX(REP.yearsrange,COUNT(REP.yearsrange)-1),$E$16:$E$27,0))-1,"")</f>
        <v>15.003744343300212</v>
      </c>
      <c r="V14" s="135">
        <f ca="1">IFERROR(INDEX(V$16:V$27,MATCH(MAX(REP.yearsrange),$E$16:$E$27,0))/INDEX(V$16:V$27,MATCH(INDEX(REP.yearsrange,COUNT(REP.yearsrange)-1),$E$16:$E$27,0))-1,"")</f>
        <v>0.98746605988922243</v>
      </c>
      <c r="W14" s="135">
        <f ca="1">IFERROR(INDEX(W$16:W$27,MATCH(MAX(REP.yearsrange),$E$16:$E$27,0))/INDEX(W$16:W$27,MATCH(INDEX(REP.yearsrange,COUNT(REP.yearsrange)-1),$E$16:$E$27,0))-1,"")</f>
        <v>-5.8163832272476679E-2</v>
      </c>
      <c r="X14" s="135">
        <f ca="1">IFERROR(INDEX(X$16:X$27,MATCH(MAX(REP.yearsrange),$E$16:$E$27,0))/INDEX(X$16:X$27,MATCH(INDEX(REP.yearsrange,COUNT(REP.yearsrange)-1),$E$16:$E$27,0))-1,"")</f>
        <v>-4.1401445781163559E-2</v>
      </c>
    </row>
    <row r="15" spans="1:27" ht="16.2" customHeight="1" thickTop="1" thickBot="1" x14ac:dyDescent="0.35">
      <c r="E15" s="1068" t="s">
        <v>116</v>
      </c>
      <c r="F15" s="1068"/>
      <c r="G15" s="135">
        <f ca="1">IFERROR(G13/(MAX(REP.yearsrange)-MIN(REP.yearsrange)),"")</f>
        <v>1.9551694306338276E-2</v>
      </c>
      <c r="H15" s="135">
        <f ca="1">IFERROR(H13/(MAX(REP.yearsrange)-MIN(REP.yearsrange)),"")</f>
        <v>3.439839943905126E-3</v>
      </c>
      <c r="I15" s="135">
        <f ca="1">IFERROR(I13/(MAX(REP.yearsrange)-MIN(REP.yearsrange)),"")</f>
        <v>1.380467765820023E-2</v>
      </c>
      <c r="J15" s="135">
        <f ca="1">IFERROR(J13/(MAX(REP.yearsrange)-MIN(REP.yearsrange)),"")</f>
        <v>2.0138605965099765E-3</v>
      </c>
      <c r="K15" s="135">
        <f ca="1">IFERROR(K13/(MAX(REP.yearsrange)-MIN(REP.yearsrange)),"")</f>
        <v>8.361863277295066E-3</v>
      </c>
      <c r="L15" s="135">
        <f ca="1">IFERROR(L13/(MAX(REP.yearsrange)-MIN(REP.yearsrange)),"")</f>
        <v>1.0096941776954223E-2</v>
      </c>
      <c r="M15" s="135">
        <f ca="1">IFERROR(M13/(MAX(REP.yearsrange)-MIN(REP.yearsrange)),"")</f>
        <v>1.5851147398037894E-2</v>
      </c>
      <c r="N15" s="135">
        <f ca="1">IFERROR(N13/(MAX(REP.yearsrange)-MIN(REP.yearsrange)),"")</f>
        <v>6.2219903832871704E-3</v>
      </c>
      <c r="O15" s="135">
        <f ca="1">IFERROR(O13/(MAX(REP.yearsrange)-MIN(REP.yearsrange)),"")</f>
        <v>1.2917987436687937E-3</v>
      </c>
      <c r="P15" s="135">
        <f ca="1">IFERROR(P13/(MAX(REP.yearsrange)-MIN(REP.yearsrange)),"")</f>
        <v>9.423389249373057E-4</v>
      </c>
      <c r="Q15" s="135">
        <f ca="1">IFERROR(Q13/(MAX(REP.yearsrange)-MIN(REP.yearsrange)),"")</f>
        <v>2.514251241411207E-2</v>
      </c>
      <c r="R15" s="135">
        <f ca="1">IFERROR(R13/(MAX(REP.yearsrange)-MIN(REP.yearsrange)),"")</f>
        <v>9.8524317972048525E-3</v>
      </c>
      <c r="S15" s="135">
        <f ca="1">IFERROR(S13/(MAX(REP.yearsrange)-MIN(REP.yearsrange)),"")</f>
        <v>8.2751150762098453E-3</v>
      </c>
      <c r="T15" s="1069"/>
      <c r="U15" s="135">
        <f ca="1">IFERROR(U13/(MAX(REP.yearsrange)-MIN(REP.yearsrange)),"")</f>
        <v>1.1649140038322433E-2</v>
      </c>
      <c r="V15" s="135">
        <f ca="1">IFERROR(V13/(MAX(REP.yearsrange)-MIN(REP.yearsrange)),"")</f>
        <v>6.7809874587305089E-3</v>
      </c>
      <c r="W15" s="135">
        <f ca="1">IFERROR(W13/(MAX(REP.yearsrange)-MIN(REP.yearsrange)),"")</f>
        <v>8.080740526067139E-3</v>
      </c>
      <c r="X15" s="135">
        <f ca="1">IFERROR(X13/(MAX(REP.yearsrange)-MIN(REP.yearsrange)),"")</f>
        <v>8.8774754740564132E-3</v>
      </c>
    </row>
    <row r="16" spans="1:27" ht="16.2" customHeight="1" thickTop="1" thickBot="1" x14ac:dyDescent="0.35">
      <c r="E16" s="86">
        <f t="array" ref="E16:E27">INDEX(REP.yearsrange,REP.yearnos)</f>
        <v>2011</v>
      </c>
      <c r="F16" s="36" t="s">
        <v>59</v>
      </c>
      <c r="G16" s="94">
        <f t="array" aca="1" ref="G16:G27" ca="1">EMP.MONTHLYDATA</f>
        <v>3729.1856327181549</v>
      </c>
      <c r="H16" s="94">
        <f t="array" aca="1" ref="H16:H27" ca="1">EMP.MONTHLYDATA</f>
        <v>5786.7665824018195</v>
      </c>
      <c r="I16" s="94">
        <f t="array" aca="1" ref="I16:I27" ca="1">EMP.MONTHLYDATA</f>
        <v>8366.920366829283</v>
      </c>
      <c r="J16" s="95">
        <f t="array" aca="1" ref="J16:J27" ca="1">EMP.MONTHLYDATA</f>
        <v>14317.8919554147</v>
      </c>
      <c r="K16" s="95">
        <f t="array" aca="1" ref="K16:K27" ca="1">EMP.MONTHLYDATA</f>
        <v>13791.385265899393</v>
      </c>
      <c r="L16" s="95">
        <f t="array" aca="1" ref="L16:L27" ca="1">EMP.MONTHLYDATA</f>
        <v>14008.860020890093</v>
      </c>
      <c r="M16" s="96">
        <f t="array" aca="1" ref="M16:M27" ca="1">EMP.MONTHLYDATA</f>
        <v>16752.25560041437</v>
      </c>
      <c r="N16" s="96">
        <f t="array" aca="1" ref="N16:N27" ca="1">EMP.MONTHLYDATA</f>
        <v>19516.398636599075</v>
      </c>
      <c r="O16" s="96">
        <f t="array" aca="1" ref="O16:O27" ca="1">EMP.MONTHLYDATA</f>
        <v>13830.687652909999</v>
      </c>
      <c r="P16" s="97">
        <f t="array" aca="1" ref="P16:P27" ca="1">EMP.MONTHLYDATA</f>
        <v>11095.446213240746</v>
      </c>
      <c r="Q16" s="97">
        <f t="array" aca="1" ref="Q16:Q27" ca="1">EMP.MONTHLYDATA</f>
        <v>5160.4411288119018</v>
      </c>
      <c r="R16" s="97">
        <f t="array" aca="1" ref="R16:R27" ca="1">EMP.MONTHLYDATA</f>
        <v>4214.6659196937435</v>
      </c>
      <c r="S16" s="98">
        <f t="array" aca="1" ref="S16:S27" ca="1">EMP.MONTHLYDATA</f>
        <v>10880.908747985273</v>
      </c>
      <c r="T16" s="1069"/>
      <c r="U16" s="94">
        <f ca="1">IFERROR(IF(AVERAGE(G16:I16)=0,"",AVERAGE(G16:I16)),"")</f>
        <v>5960.9575273164191</v>
      </c>
      <c r="V16" s="95">
        <f ca="1">IFERROR(IF(AVERAGE(J16:L16)=0,"",AVERAGE(J16:L16)),"")</f>
        <v>14039.37908073473</v>
      </c>
      <c r="W16" s="96">
        <f ca="1">IFERROR(IF(AVERAGE(M16:O16)=0,"",AVERAGE(M16:O16)),"")</f>
        <v>16699.780629974481</v>
      </c>
      <c r="X16" s="97">
        <f ca="1">IFERROR(IF(AVERAGE(P16:R16)=0,"",AVERAGE(P16:R16)),"")</f>
        <v>6823.5177539154638</v>
      </c>
      <c r="Y16" s="73"/>
      <c r="AA16" s="104">
        <f ca="1">S16</f>
        <v>10880.908747985273</v>
      </c>
    </row>
    <row r="17" spans="4:24" ht="16.2" customHeight="1" thickTop="1" thickBot="1" x14ac:dyDescent="0.35">
      <c r="E17" s="86">
        <v>2012</v>
      </c>
      <c r="F17" s="36" t="str">
        <f>$F$16</f>
        <v>FTEs</v>
      </c>
      <c r="G17" s="94">
        <f ca="1"/>
        <v>4023.3107494913138</v>
      </c>
      <c r="H17" s="94">
        <f ca="1"/>
        <v>6317.9979807371619</v>
      </c>
      <c r="I17" s="94">
        <f ca="1"/>
        <v>9137.193166903342</v>
      </c>
      <c r="J17" s="95">
        <f ca="1"/>
        <v>14077.840046522251</v>
      </c>
      <c r="K17" s="95">
        <f ca="1"/>
        <v>14339.563316695363</v>
      </c>
      <c r="L17" s="95">
        <f ca="1"/>
        <v>14708.195623805126</v>
      </c>
      <c r="M17" s="96">
        <f ca="1"/>
        <v>18145.095517894708</v>
      </c>
      <c r="N17" s="96">
        <f ca="1"/>
        <v>20432.960760015412</v>
      </c>
      <c r="O17" s="96">
        <f ca="1"/>
        <v>15104.317463699834</v>
      </c>
      <c r="P17" s="97">
        <f ca="1"/>
        <v>11777.449924919238</v>
      </c>
      <c r="Q17" s="97">
        <f ca="1"/>
        <v>6730.4514836145308</v>
      </c>
      <c r="R17" s="97">
        <f ca="1"/>
        <v>4741.3056618637956</v>
      </c>
      <c r="S17" s="98">
        <f ca="1"/>
        <v>11627.973474680175</v>
      </c>
      <c r="T17" s="38">
        <f ca="1">IFERROR(IF(S17&lt;&gt;0,S17/S16-1,""),"")</f>
        <v>6.8658302720646436E-2</v>
      </c>
      <c r="U17" s="94">
        <f t="shared" ref="U17:U27" ca="1" si="0">IFERROR(IF(AVERAGE(G17:I17)=0,"",AVERAGE(G17:I17)),"")</f>
        <v>6492.8339657106071</v>
      </c>
      <c r="V17" s="95">
        <f t="shared" ref="V17:V27" ca="1" si="1">IFERROR(IF(AVERAGE(J17:L17)=0,"",AVERAGE(J17:L17)),"")</f>
        <v>14375.199662340914</v>
      </c>
      <c r="W17" s="96">
        <f t="shared" ref="W17:W27" ca="1" si="2">IFERROR(IF(AVERAGE(M17:O17)=0,"",AVERAGE(M17:O17)),"")</f>
        <v>17894.124580536649</v>
      </c>
      <c r="X17" s="97">
        <f t="shared" ref="X17:X27" ca="1" si="3">IFERROR(IF(AVERAGE(P17:R17)=0,"",AVERAGE(P17:R17)),"")</f>
        <v>7749.735690132522</v>
      </c>
    </row>
    <row r="18" spans="4:24" ht="16.2" customHeight="1" thickTop="1" thickBot="1" x14ac:dyDescent="0.35">
      <c r="E18" s="86">
        <v>2013</v>
      </c>
      <c r="F18" s="36" t="str">
        <f t="shared" ref="F18:F27" si="4">$F$16</f>
        <v>FTEs</v>
      </c>
      <c r="G18" s="94">
        <f ca="1"/>
        <v>4155.4357909869268</v>
      </c>
      <c r="H18" s="94">
        <f ca="1"/>
        <v>6278.0011628773873</v>
      </c>
      <c r="I18" s="94">
        <f ca="1"/>
        <v>9366.0201605622642</v>
      </c>
      <c r="J18" s="95">
        <f ca="1"/>
        <v>13393.867597864401</v>
      </c>
      <c r="K18" s="95">
        <f ca="1"/>
        <v>16778.685430431477</v>
      </c>
      <c r="L18" s="95">
        <f ca="1"/>
        <v>15337.275828583282</v>
      </c>
      <c r="M18" s="96">
        <f ca="1"/>
        <v>19585.139833456953</v>
      </c>
      <c r="N18" s="96">
        <f ca="1"/>
        <v>22301.629805799155</v>
      </c>
      <c r="O18" s="96">
        <f ca="1"/>
        <v>14880.737223743938</v>
      </c>
      <c r="P18" s="97">
        <f ca="1"/>
        <v>11014.022214111601</v>
      </c>
      <c r="Q18" s="97">
        <f ca="1"/>
        <v>6844.3999315543851</v>
      </c>
      <c r="R18" s="97">
        <f ca="1"/>
        <v>4736.8701187653569</v>
      </c>
      <c r="S18" s="98">
        <f ca="1"/>
        <v>12056.007091561429</v>
      </c>
      <c r="T18" s="38">
        <f t="shared" ref="T18:T27" ca="1" si="5">IFERROR(IF(S18&lt;&gt;0,S18/S17-1,""),"")</f>
        <v>3.681068053803993E-2</v>
      </c>
      <c r="U18" s="94">
        <f t="shared" ca="1" si="0"/>
        <v>6599.8190381421928</v>
      </c>
      <c r="V18" s="95">
        <f t="shared" ca="1" si="1"/>
        <v>15169.942952293053</v>
      </c>
      <c r="W18" s="96">
        <f t="shared" ca="1" si="2"/>
        <v>18922.502287666681</v>
      </c>
      <c r="X18" s="97">
        <f t="shared" ca="1" si="3"/>
        <v>7531.764088143781</v>
      </c>
    </row>
    <row r="19" spans="4:24" ht="16.2" customHeight="1" thickTop="1" thickBot="1" x14ac:dyDescent="0.35">
      <c r="E19" s="86">
        <v>2014</v>
      </c>
      <c r="F19" s="36" t="str">
        <f t="shared" si="4"/>
        <v>FTEs</v>
      </c>
      <c r="G19" s="94">
        <f ca="1"/>
        <v>4150.6833374800372</v>
      </c>
      <c r="H19" s="94">
        <f ca="1"/>
        <v>5995.4687205986183</v>
      </c>
      <c r="I19" s="94">
        <f ca="1"/>
        <v>8930.2738217025544</v>
      </c>
      <c r="J19" s="95">
        <f ca="1"/>
        <v>13329.687263095857</v>
      </c>
      <c r="K19" s="95">
        <f ca="1"/>
        <v>15559.813751326892</v>
      </c>
      <c r="L19" s="95">
        <f ca="1"/>
        <v>13602.901293731822</v>
      </c>
      <c r="M19" s="96">
        <f ca="1"/>
        <v>17727.871345331238</v>
      </c>
      <c r="N19" s="96">
        <f ca="1"/>
        <v>21130.522754276939</v>
      </c>
      <c r="O19" s="96">
        <f ca="1"/>
        <v>14113.812995833432</v>
      </c>
      <c r="P19" s="97">
        <f ca="1"/>
        <v>10280.899638481234</v>
      </c>
      <c r="Q19" s="97">
        <f ca="1"/>
        <v>6467.8544540721678</v>
      </c>
      <c r="R19" s="97">
        <f ca="1"/>
        <v>4461.7228392957086</v>
      </c>
      <c r="S19" s="98">
        <f ca="1"/>
        <v>11312.626017935543</v>
      </c>
      <c r="T19" s="38">
        <f t="shared" ca="1" si="5"/>
        <v>-6.1660636724924722E-2</v>
      </c>
      <c r="U19" s="94">
        <f t="shared" ca="1" si="0"/>
        <v>6358.8086265937372</v>
      </c>
      <c r="V19" s="95">
        <f t="shared" ca="1" si="1"/>
        <v>14164.134102718192</v>
      </c>
      <c r="W19" s="96">
        <f t="shared" ca="1" si="2"/>
        <v>17657.402365147205</v>
      </c>
      <c r="X19" s="97">
        <f t="shared" ca="1" si="3"/>
        <v>7070.1589772830366</v>
      </c>
    </row>
    <row r="20" spans="4:24" ht="16.2" customHeight="1" thickTop="1" thickBot="1" x14ac:dyDescent="0.35">
      <c r="E20" s="86">
        <v>2015</v>
      </c>
      <c r="F20" s="36" t="str">
        <f t="shared" si="4"/>
        <v>FTEs</v>
      </c>
      <c r="G20" s="94">
        <f ca="1"/>
        <v>4263.7857481572128</v>
      </c>
      <c r="H20" s="94">
        <f ca="1"/>
        <v>6309.7333785311766</v>
      </c>
      <c r="I20" s="94">
        <f ca="1"/>
        <v>9285.8675146932273</v>
      </c>
      <c r="J20" s="95">
        <f ca="1"/>
        <v>14231.213103380982</v>
      </c>
      <c r="K20" s="95">
        <f ca="1"/>
        <v>16668.180669954774</v>
      </c>
      <c r="L20" s="95">
        <f ca="1"/>
        <v>14455.924819533271</v>
      </c>
      <c r="M20" s="96">
        <f ca="1"/>
        <v>19696.583008339276</v>
      </c>
      <c r="N20" s="96">
        <f ca="1"/>
        <v>23026.882899802189</v>
      </c>
      <c r="O20" s="96">
        <f ca="1"/>
        <v>14866.098759337146</v>
      </c>
      <c r="P20" s="97">
        <f ca="1"/>
        <v>10923.524387758567</v>
      </c>
      <c r="Q20" s="97">
        <f ca="1"/>
        <v>6614.2017730071384</v>
      </c>
      <c r="R20" s="97">
        <f ca="1"/>
        <v>4383.2634649886313</v>
      </c>
      <c r="S20" s="98">
        <f ca="1"/>
        <v>12060.438293956968</v>
      </c>
      <c r="T20" s="38">
        <f t="shared" ca="1" si="5"/>
        <v>6.6104216194879051E-2</v>
      </c>
      <c r="U20" s="94">
        <f t="shared" ca="1" si="0"/>
        <v>6619.7955471272044</v>
      </c>
      <c r="V20" s="95">
        <f t="shared" ca="1" si="1"/>
        <v>15118.439530956342</v>
      </c>
      <c r="W20" s="96">
        <f t="shared" ca="1" si="2"/>
        <v>19196.521555826203</v>
      </c>
      <c r="X20" s="97">
        <f t="shared" ca="1" si="3"/>
        <v>7306.9965419181126</v>
      </c>
    </row>
    <row r="21" spans="4:24" ht="16.2" customHeight="1" thickTop="1" thickBot="1" x14ac:dyDescent="0.35">
      <c r="E21" s="86">
        <v>2016</v>
      </c>
      <c r="F21" s="36" t="str">
        <f t="shared" si="4"/>
        <v>FTEs</v>
      </c>
      <c r="G21" s="94">
        <f ca="1"/>
        <v>4357.5445238906095</v>
      </c>
      <c r="H21" s="94">
        <f ca="1"/>
        <v>6127.3711445350173</v>
      </c>
      <c r="I21" s="94">
        <f ca="1"/>
        <v>10048.79299930922</v>
      </c>
      <c r="J21" s="95">
        <f ca="1"/>
        <v>13374.058590285284</v>
      </c>
      <c r="K21" s="95">
        <f ca="1"/>
        <v>14908.353140922212</v>
      </c>
      <c r="L21" s="95">
        <f ca="1"/>
        <v>15747.762723509761</v>
      </c>
      <c r="M21" s="96">
        <f ca="1"/>
        <v>19623.359805416221</v>
      </c>
      <c r="N21" s="96">
        <f ca="1"/>
        <v>22428.823582263223</v>
      </c>
      <c r="O21" s="96">
        <f ca="1"/>
        <v>14746.018069609989</v>
      </c>
      <c r="P21" s="97">
        <f ca="1"/>
        <v>10590.186099969975</v>
      </c>
      <c r="Q21" s="97">
        <f ca="1"/>
        <v>6586.5577501787893</v>
      </c>
      <c r="R21" s="97">
        <f ca="1"/>
        <v>4770.5760105142463</v>
      </c>
      <c r="S21" s="98">
        <f ca="1"/>
        <v>11942.450370033714</v>
      </c>
      <c r="T21" s="38">
        <f t="shared" ca="1" si="5"/>
        <v>-9.7830544004667841E-3</v>
      </c>
      <c r="U21" s="94">
        <f t="shared" ca="1" si="0"/>
        <v>6844.5695559116166</v>
      </c>
      <c r="V21" s="95">
        <f t="shared" ca="1" si="1"/>
        <v>14676.724818239085</v>
      </c>
      <c r="W21" s="96">
        <f t="shared" ca="1" si="2"/>
        <v>18932.733819096477</v>
      </c>
      <c r="X21" s="97">
        <f t="shared" ca="1" si="3"/>
        <v>7315.7732868876701</v>
      </c>
    </row>
    <row r="22" spans="4:24" ht="16.2" customHeight="1" thickTop="1" thickBot="1" x14ac:dyDescent="0.35">
      <c r="E22" s="86">
        <v>2017</v>
      </c>
      <c r="F22" s="36" t="str">
        <f t="shared" si="4"/>
        <v>FTEs</v>
      </c>
      <c r="G22" s="94">
        <f ca="1"/>
        <v>4569.5670179937915</v>
      </c>
      <c r="H22" s="94">
        <f ca="1"/>
        <v>6422.8005297688987</v>
      </c>
      <c r="I22" s="94">
        <f ca="1"/>
        <v>9177.2281331601607</v>
      </c>
      <c r="J22" s="95">
        <f ca="1"/>
        <v>15528.868370183682</v>
      </c>
      <c r="K22" s="95">
        <f ca="1"/>
        <v>15245.851562316444</v>
      </c>
      <c r="L22" s="95">
        <f ca="1"/>
        <v>15102.285518300714</v>
      </c>
      <c r="M22" s="96">
        <f ca="1"/>
        <v>19454.980628215821</v>
      </c>
      <c r="N22" s="96">
        <f ca="1"/>
        <v>21901.309818013709</v>
      </c>
      <c r="O22" s="96">
        <f ca="1"/>
        <v>14607.716878092111</v>
      </c>
      <c r="P22" s="97">
        <f ca="1"/>
        <v>11001.778047858406</v>
      </c>
      <c r="Q22" s="97">
        <f ca="1"/>
        <v>6631.441739913229</v>
      </c>
      <c r="R22" s="97">
        <f ca="1"/>
        <v>4686.933513117262</v>
      </c>
      <c r="S22" s="98">
        <f ca="1"/>
        <v>12027.563479744518</v>
      </c>
      <c r="T22" s="38">
        <f t="shared" ca="1" si="5"/>
        <v>7.1269385321770518E-3</v>
      </c>
      <c r="U22" s="94">
        <f t="shared" ca="1" si="0"/>
        <v>6723.1985603076173</v>
      </c>
      <c r="V22" s="95">
        <f t="shared" ca="1" si="1"/>
        <v>15292.335150266947</v>
      </c>
      <c r="W22" s="96">
        <f t="shared" ca="1" si="2"/>
        <v>18654.669108107213</v>
      </c>
      <c r="X22" s="97">
        <f t="shared" ca="1" si="3"/>
        <v>7440.0511002962994</v>
      </c>
    </row>
    <row r="23" spans="4:24" ht="16.2" customHeight="1" thickTop="1" thickBot="1" x14ac:dyDescent="0.35">
      <c r="E23" s="86">
        <v>2018</v>
      </c>
      <c r="F23" s="36" t="str">
        <f t="shared" si="4"/>
        <v>FTEs</v>
      </c>
      <c r="G23" s="94">
        <f ca="1"/>
        <v>4430.4054285591164</v>
      </c>
      <c r="H23" s="94">
        <f ca="1"/>
        <v>6547.9669394928342</v>
      </c>
      <c r="I23" s="94">
        <f ca="1"/>
        <v>9160.3226813313122</v>
      </c>
      <c r="J23" s="95">
        <f ca="1"/>
        <v>14184.955361351276</v>
      </c>
      <c r="K23" s="95">
        <f ca="1"/>
        <v>15633.869543788014</v>
      </c>
      <c r="L23" s="95">
        <f ca="1"/>
        <v>15804.339387512409</v>
      </c>
      <c r="M23" s="96">
        <f ca="1"/>
        <v>19252.356487180376</v>
      </c>
      <c r="N23" s="96">
        <f ca="1"/>
        <v>21480.330289881433</v>
      </c>
      <c r="O23" s="96">
        <f ca="1"/>
        <v>14787.831461920337</v>
      </c>
      <c r="P23" s="97">
        <f ca="1"/>
        <v>11141.38227772039</v>
      </c>
      <c r="Q23" s="97">
        <f ca="1"/>
        <v>6706.3539443921927</v>
      </c>
      <c r="R23" s="97">
        <f ca="1"/>
        <v>4732.4792237744368</v>
      </c>
      <c r="S23" s="98">
        <f ca="1"/>
        <v>11988.549418908675</v>
      </c>
      <c r="T23" s="38">
        <f t="shared" ca="1" si="5"/>
        <v>-3.2437210496993885E-3</v>
      </c>
      <c r="U23" s="94">
        <f t="shared" ca="1" si="0"/>
        <v>6712.8983497944209</v>
      </c>
      <c r="V23" s="95">
        <f t="shared" ca="1" si="1"/>
        <v>15207.721430883901</v>
      </c>
      <c r="W23" s="96">
        <f t="shared" ca="1" si="2"/>
        <v>18506.83941299405</v>
      </c>
      <c r="X23" s="97">
        <f t="shared" ca="1" si="3"/>
        <v>7526.7384819623394</v>
      </c>
    </row>
    <row r="24" spans="4:24" ht="16.2" customHeight="1" thickTop="1" thickBot="1" x14ac:dyDescent="0.35">
      <c r="E24" s="86">
        <v>2019</v>
      </c>
      <c r="F24" s="36" t="str">
        <f t="shared" si="4"/>
        <v>FTEs</v>
      </c>
      <c r="G24" s="94">
        <f ca="1"/>
        <v>5168.5728052724635</v>
      </c>
      <c r="H24" s="94">
        <f ca="1"/>
        <v>6941.9260114074959</v>
      </c>
      <c r="I24" s="94">
        <f ca="1"/>
        <v>9401.6809189364776</v>
      </c>
      <c r="J24" s="95">
        <f ca="1"/>
        <v>15631.053411157744</v>
      </c>
      <c r="K24" s="95">
        <f ca="1"/>
        <v>16371.197154588699</v>
      </c>
      <c r="L24" s="95">
        <f ca="1"/>
        <v>15815.955085670033</v>
      </c>
      <c r="M24" s="96">
        <f ca="1"/>
        <v>20062.126833679678</v>
      </c>
      <c r="N24" s="96">
        <f ca="1"/>
        <v>22569.96452197458</v>
      </c>
      <c r="O24" s="96">
        <f ca="1"/>
        <v>15390.007707217988</v>
      </c>
      <c r="P24" s="97">
        <f ca="1"/>
        <v>11895.873142955446</v>
      </c>
      <c r="Q24" s="97">
        <f ca="1"/>
        <v>7078.9379955958739</v>
      </c>
      <c r="R24" s="97">
        <f ca="1"/>
        <v>5079.3804665736443</v>
      </c>
      <c r="S24" s="98">
        <f ca="1"/>
        <v>12617.223004585843</v>
      </c>
      <c r="T24" s="38">
        <f t="shared" ca="1" si="5"/>
        <v>5.2439504039213158E-2</v>
      </c>
      <c r="U24" s="94">
        <f t="shared" ca="1" si="0"/>
        <v>7170.7265785388126</v>
      </c>
      <c r="V24" s="95">
        <f t="shared" ca="1" si="1"/>
        <v>15939.401883805491</v>
      </c>
      <c r="W24" s="96">
        <f t="shared" ca="1" si="2"/>
        <v>19340.699687624085</v>
      </c>
      <c r="X24" s="97">
        <f t="shared" ca="1" si="3"/>
        <v>8018.0638683749885</v>
      </c>
    </row>
    <row r="25" spans="4:24" ht="16.2" customHeight="1" thickTop="1" thickBot="1" x14ac:dyDescent="0.35">
      <c r="E25" s="86">
        <v>2020</v>
      </c>
      <c r="F25" s="36" t="str">
        <f t="shared" si="4"/>
        <v>FTEs</v>
      </c>
      <c r="G25" s="94">
        <f ca="1"/>
        <v>5172.9533299986751</v>
      </c>
      <c r="H25" s="94">
        <f ca="1"/>
        <v>7195.6456574232006</v>
      </c>
      <c r="I25" s="94">
        <f ca="1"/>
        <v>6594.9954918497569</v>
      </c>
      <c r="J25" s="95">
        <f ca="1"/>
        <v>0</v>
      </c>
      <c r="K25" s="95">
        <f ca="1"/>
        <v>0</v>
      </c>
      <c r="L25" s="95">
        <f ca="1"/>
        <v>300.37366705863235</v>
      </c>
      <c r="M25" s="96">
        <f ca="1"/>
        <v>7442.1952818409118</v>
      </c>
      <c r="N25" s="96">
        <f ca="1"/>
        <v>18556.530388645999</v>
      </c>
      <c r="O25" s="96">
        <f ca="1"/>
        <v>15134.616267091485</v>
      </c>
      <c r="P25" s="97">
        <f ca="1"/>
        <v>125.58326436232298</v>
      </c>
      <c r="Q25" s="97">
        <f ca="1"/>
        <v>3281.8281937489714</v>
      </c>
      <c r="R25" s="97">
        <f ca="1"/>
        <v>2105.383643397282</v>
      </c>
      <c r="S25" s="98">
        <f ca="1"/>
        <v>5492.5087654514364</v>
      </c>
      <c r="T25" s="38">
        <f t="shared" ca="1" si="5"/>
        <v>-0.56468164480764627</v>
      </c>
      <c r="U25" s="94">
        <f t="shared" ca="1" si="0"/>
        <v>6321.1981597572112</v>
      </c>
      <c r="V25" s="95">
        <f t="shared" ca="1" si="1"/>
        <v>100.12455568621078</v>
      </c>
      <c r="W25" s="96">
        <f t="shared" ca="1" si="2"/>
        <v>13711.1139791928</v>
      </c>
      <c r="X25" s="97">
        <f t="shared" ca="1" si="3"/>
        <v>1837.5983671695255</v>
      </c>
    </row>
    <row r="26" spans="4:24" ht="16.2" customHeight="1" thickTop="1" thickBot="1" x14ac:dyDescent="0.35">
      <c r="E26" s="86">
        <v>2021</v>
      </c>
      <c r="F26" s="36" t="str">
        <f t="shared" si="4"/>
        <v>FTEs</v>
      </c>
      <c r="G26" s="94">
        <f ca="1"/>
        <v>0</v>
      </c>
      <c r="H26" s="94">
        <f ca="1"/>
        <v>0</v>
      </c>
      <c r="I26" s="94">
        <f ca="1"/>
        <v>1260.6045876592423</v>
      </c>
      <c r="J26" s="95">
        <f ca="1"/>
        <v>4418.103773404182</v>
      </c>
      <c r="K26" s="95">
        <f ca="1"/>
        <v>5476.8352431184085</v>
      </c>
      <c r="L26" s="95">
        <f ca="1"/>
        <v>12877.658875989915</v>
      </c>
      <c r="M26" s="96">
        <f ca="1"/>
        <v>18666.271802136238</v>
      </c>
      <c r="N26" s="96">
        <f ca="1"/>
        <v>23147.981129573207</v>
      </c>
      <c r="O26" s="96">
        <f ca="1"/>
        <v>16107.263957241539</v>
      </c>
      <c r="P26" s="97">
        <f ca="1"/>
        <v>12730.543610196459</v>
      </c>
      <c r="Q26" s="97">
        <f ca="1"/>
        <v>6047.0987967448727</v>
      </c>
      <c r="R26" s="97">
        <f ca="1"/>
        <v>4662.3558515513187</v>
      </c>
      <c r="S26" s="98">
        <f ca="1"/>
        <v>8782.8931356346147</v>
      </c>
      <c r="T26" s="38">
        <f t="shared" ca="1" si="5"/>
        <v>0.59906765936908557</v>
      </c>
      <c r="U26" s="94">
        <f t="shared" ca="1" si="0"/>
        <v>420.20152921974744</v>
      </c>
      <c r="V26" s="95">
        <f t="shared" ca="1" si="1"/>
        <v>7590.8659641708355</v>
      </c>
      <c r="W26" s="96">
        <f t="shared" ca="1" si="2"/>
        <v>19307.172296316992</v>
      </c>
      <c r="X26" s="97">
        <f t="shared" ca="1" si="3"/>
        <v>7813.3327528308837</v>
      </c>
    </row>
    <row r="27" spans="4:24" ht="16.2" customHeight="1" thickTop="1" thickBot="1" x14ac:dyDescent="0.35">
      <c r="E27" s="86">
        <v>2022</v>
      </c>
      <c r="F27" s="36" t="str">
        <f t="shared" si="4"/>
        <v>FTEs</v>
      </c>
      <c r="G27" s="94">
        <f ca="1"/>
        <v>4531.2165052455894</v>
      </c>
      <c r="H27" s="94">
        <f ca="1"/>
        <v>6005.7276416000323</v>
      </c>
      <c r="I27" s="94">
        <f ca="1"/>
        <v>9637.4493920442783</v>
      </c>
      <c r="J27" s="95">
        <f ca="1"/>
        <v>14635.068578189765</v>
      </c>
      <c r="K27" s="95">
        <f ca="1"/>
        <v>15059.923723876869</v>
      </c>
      <c r="L27" s="95">
        <f ca="1"/>
        <v>15564.773104806813</v>
      </c>
      <c r="M27" s="96">
        <f ca="1"/>
        <v>19673.222800903884</v>
      </c>
      <c r="N27" s="96">
        <f ca="1"/>
        <v>20852.137927565578</v>
      </c>
      <c r="O27" s="96">
        <f ca="1"/>
        <v>14027.21876718515</v>
      </c>
      <c r="P27" s="97">
        <f ca="1"/>
        <v>11210.458592659881</v>
      </c>
      <c r="Q27" s="97">
        <f ca="1"/>
        <v>6587.652135389827</v>
      </c>
      <c r="R27" s="97">
        <f ca="1"/>
        <v>4671.4377134333927</v>
      </c>
      <c r="S27" s="98">
        <f ca="1"/>
        <v>11871.357240241756</v>
      </c>
      <c r="T27" s="38">
        <f t="shared" ca="1" si="5"/>
        <v>0.35164541534456251</v>
      </c>
      <c r="U27" s="94">
        <f t="shared" ca="1" si="0"/>
        <v>6724.7978462966321</v>
      </c>
      <c r="V27" s="95">
        <f t="shared" ca="1" si="1"/>
        <v>15086.588468957814</v>
      </c>
      <c r="W27" s="96">
        <f t="shared" ca="1" si="2"/>
        <v>18184.193165218203</v>
      </c>
      <c r="X27" s="97">
        <f t="shared" ca="1" si="3"/>
        <v>7489.8494804943666</v>
      </c>
    </row>
    <row r="28" spans="4:24" ht="16.2" customHeight="1" thickTop="1" thickBot="1" x14ac:dyDescent="0.35">
      <c r="E28" s="867" t="str">
        <f ca="1">$A$1</f>
        <v>EMPLOYMENT</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77" t="str">
        <f t="shared" ref="D29:D35" ca="1" si="6">"'"&amp;$A$1&amp;"'!"&amp;CELL("address",G29)&amp;":"&amp;CELL("address",OFFSET(G29,0,YEARSINREP-1))</f>
        <v>'EMPLOYMENT'!$G$29:$R$29</v>
      </c>
      <c r="E29" s="1042" t="s">
        <v>120</v>
      </c>
      <c r="F29" s="1043"/>
      <c r="G29" s="74">
        <f t="array" ref="G29:R29">TRANSPOSE(REP.yearsrange)</f>
        <v>2011</v>
      </c>
      <c r="H29" s="74">
        <v>2012</v>
      </c>
      <c r="I29" s="75">
        <v>2013</v>
      </c>
      <c r="J29" s="75">
        <v>2014</v>
      </c>
      <c r="K29" s="75">
        <v>2015</v>
      </c>
      <c r="L29" s="75">
        <v>2016</v>
      </c>
      <c r="M29" s="75">
        <v>2017</v>
      </c>
      <c r="N29" s="75">
        <v>2018</v>
      </c>
      <c r="O29" s="75">
        <v>2019</v>
      </c>
      <c r="P29" s="75">
        <v>2020</v>
      </c>
      <c r="Q29" s="75">
        <v>2021</v>
      </c>
      <c r="R29" s="75">
        <v>2022</v>
      </c>
      <c r="S29" s="78"/>
      <c r="T29" s="79"/>
      <c r="U29" s="79"/>
      <c r="V29" s="79"/>
      <c r="W29" s="79"/>
      <c r="X29" s="79"/>
    </row>
    <row r="30" spans="4:24" ht="16.2" customHeight="1" thickTop="1" thickBot="1" x14ac:dyDescent="0.35">
      <c r="D30" s="77" t="str">
        <f t="shared" ca="1" si="6"/>
        <v>'EMPLOYMENT'!$G$30:$R$30</v>
      </c>
      <c r="E30" s="63" t="str">
        <f>IF(TYPE.userselected="SFR",TYPE.userselected,PROPER(VISTYPE.short))</f>
        <v>Total</v>
      </c>
      <c r="F30" s="36" t="str">
        <f>$F$16</f>
        <v>FTEs</v>
      </c>
      <c r="G30" s="91">
        <f t="array" ref="G30:R30" ca="1">EMP.SHARE_VT_ANN</f>
        <v>10880.908747985273</v>
      </c>
      <c r="H30" s="91">
        <f ca="1"/>
        <v>11627.973474680175</v>
      </c>
      <c r="I30" s="91">
        <f ca="1"/>
        <v>12056.007091561429</v>
      </c>
      <c r="J30" s="91">
        <f ca="1"/>
        <v>11312.626017935543</v>
      </c>
      <c r="K30" s="91">
        <f ca="1"/>
        <v>12060.438293956968</v>
      </c>
      <c r="L30" s="91">
        <f ca="1"/>
        <v>11942.450370033714</v>
      </c>
      <c r="M30" s="91">
        <f ca="1"/>
        <v>12027.563479744518</v>
      </c>
      <c r="N30" s="91">
        <f ca="1"/>
        <v>11988.549418908675</v>
      </c>
      <c r="O30" s="91">
        <f ca="1"/>
        <v>12617.223004585843</v>
      </c>
      <c r="P30" s="91">
        <f ca="1"/>
        <v>5492.5087654514364</v>
      </c>
      <c r="Q30" s="91">
        <f ca="1"/>
        <v>8782.8931356346147</v>
      </c>
      <c r="R30" s="91">
        <f ca="1"/>
        <v>11871.357240241756</v>
      </c>
      <c r="S30" s="89"/>
      <c r="T30" s="79"/>
      <c r="U30" s="79"/>
      <c r="V30" s="79"/>
      <c r="W30" s="79"/>
      <c r="X30" s="79"/>
    </row>
    <row r="31" spans="4:24" ht="16.2" customHeight="1" thickTop="1" thickBot="1" x14ac:dyDescent="0.35">
      <c r="D31" s="77" t="str">
        <f t="shared" ca="1" si="6"/>
        <v>'EMPLOYMENT'!$G$31:$R$31</v>
      </c>
      <c r="E31" s="63" t="s">
        <v>74</v>
      </c>
      <c r="F31" s="36" t="str">
        <f>$F$16</f>
        <v>FTEs</v>
      </c>
      <c r="G31" s="92">
        <f t="array" aca="1" ref="G31:R31" ca="1">IFERROR(INDEX(DATA!T:T,MATCH(TRANSPOSE(REP.yearsrange)&amp;"."&amp;$A$1&amp;"."&amp;TOTAL,REP.lookup,0)),"")</f>
        <v>10880.908747985273</v>
      </c>
      <c r="H31" s="92">
        <f ca="1"/>
        <v>11627.973474680175</v>
      </c>
      <c r="I31" s="92">
        <f ca="1"/>
        <v>12056.007091561429</v>
      </c>
      <c r="J31" s="92">
        <f ca="1"/>
        <v>11312.626017935543</v>
      </c>
      <c r="K31" s="92">
        <f ca="1"/>
        <v>12060.438293956968</v>
      </c>
      <c r="L31" s="92">
        <f ca="1"/>
        <v>11942.450370033714</v>
      </c>
      <c r="M31" s="92">
        <f ca="1"/>
        <v>12027.563479744518</v>
      </c>
      <c r="N31" s="92">
        <f ca="1"/>
        <v>11988.549418908675</v>
      </c>
      <c r="O31" s="92">
        <f ca="1"/>
        <v>12617.223004585843</v>
      </c>
      <c r="P31" s="92">
        <f ca="1"/>
        <v>5492.5087654514364</v>
      </c>
      <c r="Q31" s="92">
        <f ca="1"/>
        <v>8782.8931356346147</v>
      </c>
      <c r="R31" s="92">
        <f ca="1"/>
        <v>11871.357240241756</v>
      </c>
      <c r="S31" s="90"/>
      <c r="T31" s="79"/>
      <c r="U31" s="79"/>
      <c r="V31" s="79"/>
      <c r="W31" s="79"/>
      <c r="X31" s="79"/>
    </row>
    <row r="32" spans="4:24" ht="16.2" customHeight="1" thickTop="1" thickBot="1" x14ac:dyDescent="0.35">
      <c r="D32" s="77" t="str">
        <f t="shared" ca="1" si="6"/>
        <v>'EMPLOYMENT'!$G$32:$R$32</v>
      </c>
      <c r="E32" s="63" t="s">
        <v>121</v>
      </c>
      <c r="F32" s="36" t="s">
        <v>117</v>
      </c>
      <c r="G32" s="72">
        <f t="array" ref="G32:R32" ca="1">IFERROR(EMP.SHARE_VT_ANN/EMP.SHARE_TOTAL_ANN,"")</f>
        <v>1</v>
      </c>
      <c r="H32" s="72">
        <f ca="1"/>
        <v>1</v>
      </c>
      <c r="I32" s="72">
        <f ca="1"/>
        <v>1</v>
      </c>
      <c r="J32" s="72">
        <f ca="1"/>
        <v>1</v>
      </c>
      <c r="K32" s="72">
        <f ca="1"/>
        <v>1</v>
      </c>
      <c r="L32" s="72">
        <f ca="1"/>
        <v>1</v>
      </c>
      <c r="M32" s="72">
        <f ca="1"/>
        <v>1</v>
      </c>
      <c r="N32" s="72">
        <f ca="1"/>
        <v>1</v>
      </c>
      <c r="O32" s="72">
        <f ca="1"/>
        <v>1</v>
      </c>
      <c r="P32" s="72">
        <f ca="1"/>
        <v>1</v>
      </c>
      <c r="Q32" s="72">
        <f ca="1"/>
        <v>1</v>
      </c>
      <c r="R32" s="72">
        <f ca="1"/>
        <v>1</v>
      </c>
      <c r="S32" s="79"/>
      <c r="T32" s="79"/>
      <c r="U32" s="79"/>
      <c r="V32" s="79"/>
      <c r="W32" s="79"/>
      <c r="X32" s="79"/>
    </row>
    <row r="33" spans="4:24" ht="16.2" customHeight="1" thickTop="1" thickBot="1" x14ac:dyDescent="0.35">
      <c r="D33" s="77" t="str">
        <f t="shared" ca="1" si="6"/>
        <v>'EMPLOYMENT'!$G$33:$R$33</v>
      </c>
      <c r="E33" s="63" t="s">
        <v>122</v>
      </c>
      <c r="F33" s="36" t="s">
        <v>117</v>
      </c>
      <c r="G33" s="38"/>
      <c r="H33" s="72">
        <f ca="1">IFERROR(H32/G32-1,"")</f>
        <v>0</v>
      </c>
      <c r="I33" s="72">
        <f t="shared" ref="I33:R33" ca="1" si="7">IFERROR(I32/H32-1,"")</f>
        <v>0</v>
      </c>
      <c r="J33" s="72">
        <f t="shared" ca="1" si="7"/>
        <v>0</v>
      </c>
      <c r="K33" s="72">
        <f t="shared" ca="1" si="7"/>
        <v>0</v>
      </c>
      <c r="L33" s="72">
        <f t="shared" ca="1" si="7"/>
        <v>0</v>
      </c>
      <c r="M33" s="72">
        <f t="shared" ca="1" si="7"/>
        <v>0</v>
      </c>
      <c r="N33" s="72">
        <f t="shared" ca="1" si="7"/>
        <v>0</v>
      </c>
      <c r="O33" s="72">
        <f t="shared" ca="1" si="7"/>
        <v>0</v>
      </c>
      <c r="P33" s="72">
        <f t="shared" ca="1" si="7"/>
        <v>0</v>
      </c>
      <c r="Q33" s="72">
        <f t="shared" ca="1" si="7"/>
        <v>0</v>
      </c>
      <c r="R33" s="72">
        <f t="shared" ca="1" si="7"/>
        <v>0</v>
      </c>
      <c r="S33" s="79"/>
      <c r="T33" s="79"/>
      <c r="U33" s="79"/>
      <c r="V33" s="79"/>
      <c r="W33" s="79"/>
      <c r="X33" s="79"/>
    </row>
    <row r="34" spans="4:24" ht="16.2" customHeight="1" thickTop="1" thickBot="1" x14ac:dyDescent="0.35">
      <c r="D34" s="77" t="str">
        <f t="shared" ca="1" si="6"/>
        <v>'EMPLOYMENT'!$G$34:$R$34</v>
      </c>
      <c r="E34" s="63" t="str">
        <f>"Change in Share from "&amp;MIN(REP.yearsrange)</f>
        <v>Change in Share from 2011</v>
      </c>
      <c r="F34" s="36" t="s">
        <v>117</v>
      </c>
      <c r="G34" s="38"/>
      <c r="H34" s="72">
        <f t="shared" ref="H34:R34" ca="1" si="8">IFERROR(H32/$G$32-1,"")</f>
        <v>0</v>
      </c>
      <c r="I34" s="72">
        <f t="shared" ca="1" si="8"/>
        <v>0</v>
      </c>
      <c r="J34" s="72">
        <f t="shared" ca="1" si="8"/>
        <v>0</v>
      </c>
      <c r="K34" s="72">
        <f t="shared" ca="1" si="8"/>
        <v>0</v>
      </c>
      <c r="L34" s="72">
        <f t="shared" ca="1" si="8"/>
        <v>0</v>
      </c>
      <c r="M34" s="72">
        <f t="shared" ca="1" si="8"/>
        <v>0</v>
      </c>
      <c r="N34" s="72">
        <f t="shared" ca="1" si="8"/>
        <v>0</v>
      </c>
      <c r="O34" s="72">
        <f t="shared" ca="1" si="8"/>
        <v>0</v>
      </c>
      <c r="P34" s="72">
        <f t="shared" ca="1" si="8"/>
        <v>0</v>
      </c>
      <c r="Q34" s="72">
        <f t="shared" ca="1" si="8"/>
        <v>0</v>
      </c>
      <c r="R34" s="72">
        <f t="shared" ca="1" si="8"/>
        <v>0</v>
      </c>
      <c r="S34" s="79"/>
      <c r="T34" s="79"/>
      <c r="U34" s="79"/>
      <c r="V34" s="79"/>
      <c r="W34" s="79"/>
      <c r="X34" s="79"/>
    </row>
    <row r="35" spans="4:24" ht="16.2" customHeight="1" thickTop="1" thickBot="1" x14ac:dyDescent="0.35">
      <c r="D35" s="77" t="str">
        <f t="shared" ca="1" si="6"/>
        <v>'EMPLOYMENT'!$G$35:$R$35</v>
      </c>
      <c r="E35" s="63" t="s">
        <v>146</v>
      </c>
      <c r="F35" s="36" t="s">
        <v>117</v>
      </c>
      <c r="G35" s="38"/>
      <c r="H35" s="72">
        <f ca="1">IFERROR(H34/(H$29-$G$29),"")</f>
        <v>0</v>
      </c>
      <c r="I35" s="72">
        <f t="shared" ref="I35:R35" ca="1" si="9">IFERROR(I34/(I$29-$G$29),"")</f>
        <v>0</v>
      </c>
      <c r="J35" s="72">
        <f t="shared" ca="1" si="9"/>
        <v>0</v>
      </c>
      <c r="K35" s="72">
        <f t="shared" ca="1" si="9"/>
        <v>0</v>
      </c>
      <c r="L35" s="72">
        <f t="shared" ca="1" si="9"/>
        <v>0</v>
      </c>
      <c r="M35" s="72">
        <f t="shared" ca="1" si="9"/>
        <v>0</v>
      </c>
      <c r="N35" s="72">
        <f t="shared" ca="1" si="9"/>
        <v>0</v>
      </c>
      <c r="O35" s="72">
        <f t="shared" ca="1" si="9"/>
        <v>0</v>
      </c>
      <c r="P35" s="72">
        <f t="shared" ca="1" si="9"/>
        <v>0</v>
      </c>
      <c r="Q35" s="72">
        <f t="shared" ca="1" si="9"/>
        <v>0</v>
      </c>
      <c r="R35" s="72">
        <f t="shared" ca="1" si="9"/>
        <v>0</v>
      </c>
      <c r="S35" s="79"/>
      <c r="T35" s="79"/>
      <c r="U35" s="79"/>
      <c r="V35" s="79"/>
      <c r="W35" s="79"/>
      <c r="X35" s="79"/>
    </row>
    <row r="36" spans="4:24" ht="16.2" customHeight="1" thickTop="1" thickBot="1" x14ac:dyDescent="0.35">
      <c r="D36" s="77"/>
      <c r="E36" s="664"/>
      <c r="F36" s="665"/>
      <c r="G36" s="38"/>
      <c r="H36" s="72"/>
      <c r="I36" s="72"/>
      <c r="J36" s="72"/>
      <c r="K36" s="72"/>
      <c r="L36" s="72"/>
      <c r="M36" s="72"/>
      <c r="N36" s="72"/>
      <c r="O36" s="72"/>
      <c r="P36" s="72"/>
      <c r="Q36" s="72"/>
      <c r="R36" s="72"/>
      <c r="S36" s="79"/>
      <c r="T36" s="79"/>
      <c r="U36" s="79"/>
      <c r="V36" s="79"/>
      <c r="W36" s="79"/>
      <c r="X36" s="79"/>
    </row>
    <row r="37" spans="4:24" ht="16.2" customHeight="1" thickTop="1" thickBot="1" x14ac:dyDescent="0.35">
      <c r="E37" s="87" t="str">
        <f>IF(COUNT(REP.yearsrange)&lt;MAX(REP.yearnos),"Note: This report caters for a period of up to 12 years. Parts of this page are intentionally left blank to accommodate new data as it becomes available.","")</f>
        <v/>
      </c>
      <c r="F37" s="85"/>
      <c r="G37" s="85"/>
      <c r="H37" s="85"/>
      <c r="I37" s="85"/>
      <c r="J37" s="85"/>
      <c r="K37" s="85"/>
      <c r="L37" s="85"/>
      <c r="M37" s="85"/>
      <c r="N37" s="85"/>
      <c r="O37" s="85"/>
      <c r="P37" s="85"/>
      <c r="Q37" s="85"/>
      <c r="R37" s="85"/>
      <c r="S37" s="79"/>
      <c r="T37" s="79"/>
      <c r="U37" s="79"/>
      <c r="V37" s="79"/>
      <c r="W37" s="79"/>
      <c r="X37" s="79"/>
    </row>
    <row r="38" spans="4:24" s="42" customFormat="1" ht="16.2" customHeight="1" thickTop="1" thickBot="1" x14ac:dyDescent="0.2">
      <c r="D38" s="41"/>
      <c r="E38" s="62" t="str">
        <f>REP.footer1</f>
        <v>This report is copyright © Global Tourism Solutions (UK) Ltd 2023</v>
      </c>
      <c r="F38" s="56"/>
      <c r="G38" s="56"/>
      <c r="H38" s="56"/>
      <c r="I38" s="56"/>
      <c r="J38" s="56"/>
      <c r="K38" s="56"/>
      <c r="L38" s="56"/>
      <c r="M38" s="56"/>
      <c r="N38" s="56"/>
      <c r="O38" s="56"/>
      <c r="P38" s="56"/>
      <c r="Q38" s="56"/>
      <c r="R38" s="56"/>
      <c r="S38" s="56"/>
      <c r="T38" s="56"/>
      <c r="U38" s="56"/>
      <c r="V38" s="56"/>
      <c r="W38" s="56"/>
      <c r="X38" s="61"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xXE7lSmsNYl/3JyGa9VcjLOPGod8JoVHMEI0GDSgP4P/tvXM/9IER2LfEPsJgBs7cKEhn+VlDRngVkHfTOMIQ==" saltValue="cgzGA6F7OUVZsXkDE0j0m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57" priority="26">
      <formula>$E16=0</formula>
    </cfRule>
  </conditionalFormatting>
  <conditionalFormatting sqref="F30:F36">
    <cfRule type="expression" dxfId="56" priority="40">
      <formula>$E30=0</formula>
    </cfRule>
  </conditionalFormatting>
  <conditionalFormatting sqref="G9:R9">
    <cfRule type="expression" dxfId="55" priority="15">
      <formula>TYPE.no=4</formula>
    </cfRule>
    <cfRule type="expression" dxfId="54" priority="16">
      <formula>TYPE.no=3</formula>
    </cfRule>
    <cfRule type="expression" dxfId="53" priority="17">
      <formula>TYPE.no=2</formula>
    </cfRule>
    <cfRule type="expression" dxfId="52" priority="18">
      <formula>TYPE.no=1</formula>
    </cfRule>
    <cfRule type="expression" dxfId="51" priority="13">
      <formula>TYPE.no=6</formula>
    </cfRule>
    <cfRule type="expression" dxfId="50" priority="14">
      <formula>TYPE.no=5</formula>
    </cfRule>
  </conditionalFormatting>
  <conditionalFormatting sqref="G30:R34 H35:R36">
    <cfRule type="expression" dxfId="49" priority="33" stopIfTrue="1">
      <formula>G$29=0</formula>
    </cfRule>
  </conditionalFormatting>
  <conditionalFormatting sqref="G33:R34">
    <cfRule type="cellIs" dxfId="48" priority="36" operator="lessThanOrEqual">
      <formula>-REP.percenthighlight</formula>
    </cfRule>
    <cfRule type="cellIs" dxfId="47" priority="37" operator="greaterThanOrEqual">
      <formula>REP.percenthighlight</formula>
    </cfRule>
  </conditionalFormatting>
  <conditionalFormatting sqref="G13:S15">
    <cfRule type="expression" priority="4" stopIfTrue="1">
      <formula>G13=""</formula>
    </cfRule>
    <cfRule type="cellIs" dxfId="46" priority="5" operator="lessThanOrEqual">
      <formula>-REP.percenthighlight</formula>
    </cfRule>
    <cfRule type="cellIs" dxfId="45" priority="6" operator="greaterThanOrEqual">
      <formula>REP.percenthighlight</formula>
    </cfRule>
  </conditionalFormatting>
  <conditionalFormatting sqref="H35:R36">
    <cfRule type="cellIs" dxfId="44" priority="34" operator="lessThanOrEqual">
      <formula>-REP.percenthighlight</formula>
    </cfRule>
    <cfRule type="cellIs" dxfId="43" priority="35" operator="greaterThanOrEqual">
      <formula>REP.percenthighlight</formula>
    </cfRule>
  </conditionalFormatting>
  <conditionalFormatting sqref="I29:R29">
    <cfRule type="expression" dxfId="42" priority="38">
      <formula>I29=0</formula>
    </cfRule>
  </conditionalFormatting>
  <conditionalFormatting sqref="S6:T7">
    <cfRule type="expression" dxfId="41" priority="19">
      <formula>TYPE.no=6</formula>
    </cfRule>
    <cfRule type="expression" dxfId="40" priority="20">
      <formula>TYPE.no=5</formula>
    </cfRule>
    <cfRule type="expression" dxfId="39" priority="21">
      <formula>TYPE.no=4</formula>
    </cfRule>
    <cfRule type="expression" dxfId="38" priority="22">
      <formula>TYPE.no=3</formula>
    </cfRule>
    <cfRule type="expression" dxfId="37" priority="23">
      <formula>TYPE.no=2</formula>
    </cfRule>
    <cfRule type="expression" dxfId="36" priority="24">
      <formula>TYPE.no=1</formula>
    </cfRule>
  </conditionalFormatting>
  <conditionalFormatting sqref="S28:X28">
    <cfRule type="expression" dxfId="35" priority="7">
      <formula>TYPE.no=6</formula>
    </cfRule>
    <cfRule type="expression" dxfId="34" priority="8">
      <formula>TYPE.no=5</formula>
    </cfRule>
    <cfRule type="expression" dxfId="33" priority="9">
      <formula>TYPE.no=4</formula>
    </cfRule>
    <cfRule type="expression" dxfId="32" priority="10">
      <formula>TYPE.no=3</formula>
    </cfRule>
    <cfRule type="expression" dxfId="31" priority="11">
      <formula>TYPE.no=2</formula>
    </cfRule>
    <cfRule type="expression" dxfId="30" priority="12">
      <formula>TYPE.no=1</formula>
    </cfRule>
  </conditionalFormatting>
  <conditionalFormatting sqref="T17:T27">
    <cfRule type="cellIs" dxfId="29" priority="31" operator="greaterThanOrEqual">
      <formula>REP.percenthighlight</formula>
    </cfRule>
    <cfRule type="cellIs" dxfId="28" priority="32" operator="lessThanOrEqual">
      <formula>-REP.percenthighlight</formula>
    </cfRule>
  </conditionalFormatting>
  <conditionalFormatting sqref="U13:X15">
    <cfRule type="cellIs" dxfId="27" priority="2" operator="lessThanOrEqual">
      <formula>-REP.percenthighlight</formula>
    </cfRule>
    <cfRule type="cellIs" dxfId="26"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175260</xdr:colOff>
                    <xdr:row>4</xdr:row>
                    <xdr:rowOff>22860</xdr:rowOff>
                  </from>
                  <to>
                    <xdr:col>13</xdr:col>
                    <xdr:colOff>144780</xdr:colOff>
                    <xdr:row>4</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Z22" sqref="Z2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ACCOMMODATION SUPPLY</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E6" s="531" t="str">
        <f>REP.title1</f>
        <v>STEAM FINAL TREND REPORT FOR 2011-2022</v>
      </c>
      <c r="F6" s="532"/>
      <c r="G6" s="532"/>
      <c r="H6" s="532"/>
      <c r="I6" s="532"/>
      <c r="J6" s="532"/>
      <c r="K6" s="532"/>
      <c r="L6" s="532"/>
      <c r="M6" s="532"/>
      <c r="N6" s="708"/>
      <c r="O6" s="1097">
        <f>CHARTYEAR</f>
        <v>2022</v>
      </c>
      <c r="P6" s="1098"/>
      <c r="Q6" s="1098"/>
      <c r="R6" s="1099"/>
      <c r="S6" s="1103" t="s">
        <v>173</v>
      </c>
      <c r="T6" s="1104"/>
      <c r="U6" s="1107" t="str">
        <f>"ACCOMMODATION SUPPLY"&amp;CHAR(10)&amp;"DISTRIBUTION BY TYPE"</f>
        <v>ACCOMMODATION SUPPLY
DISTRIBUTION BY TYPE</v>
      </c>
      <c r="V6" s="1108"/>
      <c r="W6" s="1108"/>
      <c r="X6" s="1109"/>
    </row>
    <row r="7" spans="1:28" ht="16.2" customHeight="1" thickBot="1" x14ac:dyDescent="0.35">
      <c r="E7" s="533" t="str">
        <f>REP.title2</f>
        <v>CONWY COUNTY BOROUGH COUNCIL</v>
      </c>
      <c r="F7" s="534"/>
      <c r="G7" s="534"/>
      <c r="H7" s="534"/>
      <c r="I7" s="535"/>
      <c r="J7" s="535"/>
      <c r="K7" s="535"/>
      <c r="L7" s="535"/>
      <c r="M7" s="535"/>
      <c r="N7" s="709"/>
      <c r="O7" s="1100"/>
      <c r="P7" s="1101"/>
      <c r="Q7" s="1101"/>
      <c r="R7" s="1102"/>
      <c r="S7" s="1105"/>
      <c r="T7" s="1106"/>
      <c r="U7" s="1110"/>
      <c r="V7" s="1111"/>
      <c r="W7" s="1111"/>
      <c r="X7" s="1112"/>
    </row>
    <row r="8" spans="1:28" ht="16.2" customHeight="1" thickTop="1" thickBot="1" x14ac:dyDescent="0.35">
      <c r="E8" s="1115" t="str">
        <f>"SERVICED ACCOMMODATION "&amp;CHAR(10)&amp;CHARTYEAR</f>
        <v>SERVICED ACCOMMODATION 
2022</v>
      </c>
      <c r="F8" s="1116"/>
      <c r="G8" s="1116"/>
      <c r="H8" s="1116"/>
      <c r="I8" s="1126">
        <f>CHARTYEAR</f>
        <v>2022</v>
      </c>
      <c r="J8" s="1127"/>
      <c r="K8" s="1119" t="str">
        <f>IF(CHARTYEAR=INDEX(REP.yearsrange,1),"","Change on "&amp;INDEX(REP.yearsrange,MATCH(CHARTYEAR,REP.yearsrange,0)-1))</f>
        <v>Change on 2021</v>
      </c>
      <c r="L8" s="1120"/>
      <c r="M8" s="1113" t="str">
        <f>IF(OR(CHARTYEAR=INDEX(REP.yearsrange,1),CHARTYEAR=INDEX(REP.yearsrange,2)),"","Change on "&amp;INDEX(REP.yearsrange,1))</f>
        <v>Change on 2011</v>
      </c>
      <c r="N8" s="1121"/>
      <c r="O8" s="1128"/>
      <c r="P8" s="1128"/>
      <c r="Q8" s="1128"/>
      <c r="R8" s="1128"/>
      <c r="S8" s="1128"/>
      <c r="T8" s="1128"/>
      <c r="U8" s="1128"/>
      <c r="V8" s="1128"/>
      <c r="W8" s="1128"/>
      <c r="X8" s="1129"/>
      <c r="Y8" s="240"/>
    </row>
    <row r="9" spans="1:28" s="125" customFormat="1" ht="16.2" customHeight="1" thickTop="1" thickBot="1" x14ac:dyDescent="0.35">
      <c r="E9" s="1117"/>
      <c r="F9" s="1118"/>
      <c r="G9" s="1118"/>
      <c r="H9" s="1118"/>
      <c r="I9" s="717" t="s">
        <v>175</v>
      </c>
      <c r="J9" s="718" t="s">
        <v>176</v>
      </c>
      <c r="K9" s="232" t="str">
        <f>IF(K8="","",I9)</f>
        <v>Est.</v>
      </c>
      <c r="L9" s="723" t="str">
        <f>IF(K8="","",J9)</f>
        <v>Beds</v>
      </c>
      <c r="M9" s="724" t="str">
        <f>IF(M8="","",I9)</f>
        <v>Est.</v>
      </c>
      <c r="N9" s="753" t="str">
        <f>IF(M8="","",J9)</f>
        <v>Beds</v>
      </c>
      <c r="O9" s="1130"/>
      <c r="P9" s="1130"/>
      <c r="Q9" s="1130"/>
      <c r="R9" s="1130"/>
      <c r="S9" s="1130"/>
      <c r="T9" s="1130"/>
      <c r="U9" s="1130"/>
      <c r="V9" s="1130"/>
      <c r="W9" s="1130"/>
      <c r="X9" s="1131"/>
      <c r="Y9" s="485"/>
    </row>
    <row r="10" spans="1:28" s="125" customFormat="1" ht="16.2" customHeight="1" thickTop="1" thickBot="1" x14ac:dyDescent="0.35">
      <c r="E10" s="726" t="s">
        <v>161</v>
      </c>
      <c r="F10" s="727"/>
      <c r="G10" s="728"/>
      <c r="H10" s="729"/>
      <c r="I10" s="741">
        <f t="array" ref="I10:I15">IFERROR(INDEX(DATA!$T:$T,MATCH(CHARTYEAR&amp;".Accommodation - Establishments.Serviced Accommodation "&amp;{"Total";"1";"2";"3";"4";"5"},REP.lookup,0)),"")</f>
        <v>317</v>
      </c>
      <c r="J10" s="741">
        <f t="array" ref="J10:J15">IFERROR(INDEX(DATA!$T:$T,MATCH(CHARTYEAR&amp;".Accommodation - Bed Spaces.Serviced Accommodation "&amp;{"Total";"1";"2";"3";"4";"5"},REP.lookup,0)),"")</f>
        <v>9293</v>
      </c>
      <c r="K10" s="754">
        <f t="array" ref="K10:K15">IFERROR(IF(K$9="","",I10:I15-INDEX(DATA!$T:$T,MATCH(CHARTYEAR-1&amp;".Accommodation - Establishments.Serviced Accommodation "&amp;{"Total";"1";"2";"3";"4";"5"},REP.lookup,0))),"")</f>
        <v>0</v>
      </c>
      <c r="L10" s="754">
        <f t="array" ref="L10:L15">IFERROR(IF(L$9="","",J10:J15-INDEX(DATA!$T:$T,MATCH(CHARTYEAR-1&amp;".Accommodation - Bed Spaces.Serviced Accommodation "&amp;{"Total";"1";"2";"3";"4";"5"},REP.lookup,0))),"")</f>
        <v>0</v>
      </c>
      <c r="M10" s="754">
        <f t="array" ref="M10:M15">IFERROR(IF(M$9="","",I10:I15-INDEX(DATA!$T:$T,MATCH(INDEX(REP.yearsrange,1)&amp;".Accommodation - Establishments.Serviced Accommodation "&amp;{"Total";"1";"2";"3";"4";"5"},REP.lookup,0))),"")</f>
        <v>-127</v>
      </c>
      <c r="N10" s="754">
        <f t="array" ref="N10:N15">IFERROR(IF(N$9="","",J10:J15-INDEX(DATA!$T:$T,MATCH(INDEX(REP.yearsrange,1)&amp;".Accommodation - Bed Spaces.Serviced Accommodation "&amp;{"Total";"1";"2";"3";"4";"5"},REP.lookup,0))),"")</f>
        <v>-2937</v>
      </c>
      <c r="O10" s="734"/>
      <c r="P10" s="421"/>
      <c r="Q10" s="421"/>
      <c r="R10" s="421"/>
      <c r="S10" s="421"/>
      <c r="T10" s="421"/>
      <c r="U10" s="421"/>
      <c r="V10" s="421"/>
      <c r="W10" s="421"/>
      <c r="X10" s="735"/>
      <c r="Y10" s="485"/>
      <c r="Z10" s="485"/>
      <c r="AA10" s="484"/>
      <c r="AB10" s="483"/>
    </row>
    <row r="11" spans="1:28" s="125" customFormat="1" ht="16.2" customHeight="1" thickTop="1" thickBot="1" x14ac:dyDescent="0.35">
      <c r="E11" s="695" t="str">
        <f t="array" ref="E11:E15">IFERROR(IF(AVERAGE(I11:I15,K11:K15,M11:M15)&lt;&gt;0,INDEX(DATA!$G:$G,MATCH(CHARTYEAR&amp;".Accommodation - Establishments.Serviced Accommodation "&amp;{"1";"2";"3";"4";"5"},REP.lookup,0)),""),"")</f>
        <v>+50 room hotels</v>
      </c>
      <c r="F11" s="706"/>
      <c r="G11" s="696"/>
      <c r="H11" s="696"/>
      <c r="I11" s="743">
        <v>22</v>
      </c>
      <c r="J11" s="744">
        <v>3535</v>
      </c>
      <c r="K11" s="755">
        <v>0</v>
      </c>
      <c r="L11" s="755">
        <v>0</v>
      </c>
      <c r="M11" s="755">
        <v>-3</v>
      </c>
      <c r="N11" s="756">
        <v>-325</v>
      </c>
      <c r="O11" s="734"/>
      <c r="P11" s="421"/>
      <c r="Q11" s="421"/>
      <c r="R11" s="421"/>
      <c r="S11" s="421"/>
      <c r="T11" s="421"/>
      <c r="U11" s="421"/>
      <c r="V11" s="421"/>
      <c r="W11" s="421"/>
      <c r="X11" s="735"/>
      <c r="Y11" s="485"/>
      <c r="Z11" s="485"/>
      <c r="AA11" s="484"/>
      <c r="AB11" s="483"/>
    </row>
    <row r="12" spans="1:28" ht="16.2" customHeight="1" thickBot="1" x14ac:dyDescent="0.35">
      <c r="E12" s="695" t="str">
        <v>10-50 room hotels</v>
      </c>
      <c r="F12" s="706"/>
      <c r="G12" s="696"/>
      <c r="H12" s="696"/>
      <c r="I12" s="745">
        <v>68</v>
      </c>
      <c r="J12" s="746">
        <v>3022</v>
      </c>
      <c r="K12" s="757">
        <v>0</v>
      </c>
      <c r="L12" s="757">
        <v>0</v>
      </c>
      <c r="M12" s="757">
        <v>-45</v>
      </c>
      <c r="N12" s="758">
        <v>-1775</v>
      </c>
      <c r="O12" s="151"/>
      <c r="P12" s="152"/>
      <c r="Q12" s="152"/>
      <c r="R12" s="152"/>
      <c r="S12" s="152"/>
      <c r="T12" s="152"/>
      <c r="U12" s="152"/>
      <c r="V12" s="152"/>
      <c r="W12" s="152"/>
      <c r="X12" s="736"/>
      <c r="Y12" s="240"/>
      <c r="Z12" s="485"/>
      <c r="AA12" s="484"/>
      <c r="AB12" s="483"/>
    </row>
    <row r="13" spans="1:28" ht="16.2" customHeight="1" thickBot="1" x14ac:dyDescent="0.35">
      <c r="E13" s="695" t="str">
        <v>&lt;10 room hotels/others</v>
      </c>
      <c r="F13" s="706"/>
      <c r="G13" s="696"/>
      <c r="H13" s="696"/>
      <c r="I13" s="745">
        <v>227</v>
      </c>
      <c r="J13" s="746">
        <v>2736</v>
      </c>
      <c r="K13" s="757">
        <v>0</v>
      </c>
      <c r="L13" s="757">
        <v>0</v>
      </c>
      <c r="M13" s="757">
        <v>-79</v>
      </c>
      <c r="N13" s="758">
        <v>-837</v>
      </c>
      <c r="O13" s="151"/>
      <c r="P13" s="152"/>
      <c r="Q13" s="152"/>
      <c r="R13" s="152"/>
      <c r="S13" s="152"/>
      <c r="T13" s="152"/>
      <c r="U13" s="152"/>
      <c r="V13" s="152"/>
      <c r="W13" s="152"/>
      <c r="X13" s="736"/>
      <c r="Y13" s="240"/>
      <c r="Z13" s="485"/>
      <c r="AA13" s="484"/>
      <c r="AB13" s="483"/>
    </row>
    <row r="14" spans="1:28" ht="16.2" customHeight="1" thickBot="1" x14ac:dyDescent="0.35">
      <c r="E14" s="695" t="str">
        <v/>
      </c>
      <c r="F14" s="706"/>
      <c r="G14" s="696"/>
      <c r="H14" s="696"/>
      <c r="I14" s="745" t="str">
        <v/>
      </c>
      <c r="J14" s="746" t="str">
        <v/>
      </c>
      <c r="K14" s="757" t="str">
        <v/>
      </c>
      <c r="L14" s="757" t="str">
        <v/>
      </c>
      <c r="M14" s="757" t="str">
        <v/>
      </c>
      <c r="N14" s="758" t="str">
        <v/>
      </c>
      <c r="O14" s="151"/>
      <c r="P14" s="152"/>
      <c r="Q14" s="152"/>
      <c r="R14" s="152"/>
      <c r="S14" s="152"/>
      <c r="T14" s="152"/>
      <c r="U14" s="152"/>
      <c r="V14" s="152"/>
      <c r="W14" s="152"/>
      <c r="X14" s="736"/>
      <c r="Y14" s="240"/>
      <c r="Z14" s="485"/>
      <c r="AA14" s="484"/>
      <c r="AB14" s="483"/>
    </row>
    <row r="15" spans="1:28" ht="16.2" customHeight="1" thickBot="1" x14ac:dyDescent="0.35">
      <c r="E15" s="695" t="str">
        <v/>
      </c>
      <c r="F15" s="706"/>
      <c r="G15" s="696"/>
      <c r="H15" s="696"/>
      <c r="I15" s="747" t="str">
        <v/>
      </c>
      <c r="J15" s="748" t="str">
        <v/>
      </c>
      <c r="K15" s="759" t="str">
        <v/>
      </c>
      <c r="L15" s="759" t="str">
        <v/>
      </c>
      <c r="M15" s="759" t="str">
        <v/>
      </c>
      <c r="N15" s="760" t="str">
        <v/>
      </c>
      <c r="O15" s="151"/>
      <c r="P15" s="152"/>
      <c r="Q15" s="152"/>
      <c r="R15" s="152"/>
      <c r="S15" s="152"/>
      <c r="T15" s="152"/>
      <c r="U15" s="152"/>
      <c r="V15" s="152"/>
      <c r="W15" s="152"/>
      <c r="X15" s="736"/>
      <c r="Y15" s="240"/>
      <c r="Z15" s="485"/>
      <c r="AA15" s="484"/>
      <c r="AB15" s="483"/>
    </row>
    <row r="16" spans="1:28" ht="16.2" customHeight="1" thickTop="1" thickBot="1" x14ac:dyDescent="0.35">
      <c r="E16" s="695"/>
      <c r="F16" s="706"/>
      <c r="G16" s="696"/>
      <c r="H16" s="696"/>
      <c r="I16" s="721"/>
      <c r="J16" s="722"/>
      <c r="K16" s="719"/>
      <c r="L16" s="720"/>
      <c r="M16" s="719"/>
      <c r="N16" s="720"/>
      <c r="O16" s="695"/>
      <c r="P16" s="706"/>
      <c r="Q16" s="696"/>
      <c r="R16" s="163"/>
      <c r="S16" s="732"/>
      <c r="T16" s="732"/>
      <c r="U16" s="733"/>
      <c r="V16" s="733"/>
      <c r="W16" s="733"/>
      <c r="X16" s="716"/>
      <c r="Y16" s="270"/>
      <c r="Z16" s="485"/>
      <c r="AA16" s="484"/>
      <c r="AB16" s="483"/>
    </row>
    <row r="17" spans="4:28" ht="16.2" customHeight="1" thickTop="1" thickBot="1" x14ac:dyDescent="0.35">
      <c r="E17" s="1122" t="str">
        <f>"NON-SERVICED ACCOMMODATION "&amp;CHAR(10)&amp;CHARTYEAR</f>
        <v>NON-SERVICED ACCOMMODATION 
2022</v>
      </c>
      <c r="F17" s="1123"/>
      <c r="G17" s="1123"/>
      <c r="H17" s="1123"/>
      <c r="I17" s="1126">
        <f>CHARTYEAR</f>
        <v>2022</v>
      </c>
      <c r="J17" s="1127"/>
      <c r="K17" s="1119" t="str">
        <f>IF(CHARTYEAR=INDEX(REP.yearsrange,1),"","Change on "&amp;INDEX(REP.yearsrange,MATCH(CHARTYEAR,REP.yearsrange,0)-1))</f>
        <v>Change on 2021</v>
      </c>
      <c r="L17" s="1120"/>
      <c r="M17" s="1113" t="str">
        <f>IF(OR(CHARTYEAR=INDEX(REP.yearsrange,1),CHARTYEAR=INDEX(REP.yearsrange,2)),"","Change on "&amp;INDEX(REP.yearsrange,1))</f>
        <v>Change on 2011</v>
      </c>
      <c r="N17" s="1114"/>
      <c r="O17" s="162"/>
      <c r="P17" s="697"/>
      <c r="Q17" s="696"/>
      <c r="R17" s="248"/>
      <c r="S17" s="418"/>
      <c r="T17" s="698"/>
      <c r="U17" s="418"/>
      <c r="V17" s="418"/>
      <c r="W17" s="418"/>
      <c r="X17" s="700"/>
      <c r="Y17" s="240"/>
      <c r="Z17" s="485"/>
      <c r="AA17" s="484"/>
      <c r="AB17" s="483"/>
    </row>
    <row r="18" spans="4:28" ht="16.2" customHeight="1" thickTop="1" thickBot="1" x14ac:dyDescent="0.35">
      <c r="E18" s="1124"/>
      <c r="F18" s="1125"/>
      <c r="G18" s="1125"/>
      <c r="H18" s="1125"/>
      <c r="I18" s="717" t="s">
        <v>175</v>
      </c>
      <c r="J18" s="718" t="s">
        <v>176</v>
      </c>
      <c r="K18" s="232" t="str">
        <f>IF(K17="","",I18)</f>
        <v>Est.</v>
      </c>
      <c r="L18" s="723" t="str">
        <f>IF(K17="","",J18)</f>
        <v>Beds</v>
      </c>
      <c r="M18" s="724" t="str">
        <f>IF(M17="","",I18)</f>
        <v>Est.</v>
      </c>
      <c r="N18" s="725" t="str">
        <f>IF(M17="","",J18)</f>
        <v>Beds</v>
      </c>
      <c r="O18" s="162"/>
      <c r="P18" s="697"/>
      <c r="Q18" s="696"/>
      <c r="R18" s="248"/>
      <c r="S18" s="418"/>
      <c r="T18" s="159"/>
      <c r="U18" s="418"/>
      <c r="V18" s="418"/>
      <c r="W18" s="418"/>
      <c r="X18" s="700"/>
      <c r="Y18" s="240"/>
      <c r="Z18" s="485"/>
      <c r="AA18" s="484"/>
      <c r="AB18" s="483"/>
    </row>
    <row r="19" spans="4:28" ht="16.2" customHeight="1" thickTop="1" thickBot="1" x14ac:dyDescent="0.35">
      <c r="E19" s="726" t="s">
        <v>162</v>
      </c>
      <c r="F19" s="727"/>
      <c r="G19" s="728"/>
      <c r="H19" s="731"/>
      <c r="I19" s="741">
        <f t="array" ref="I19:I24">IFERROR(INDEX(DATA!$T:$T,MATCH(CHARTYEAR&amp;".Accommodation - Establishments.Non-Serviced Accommodation "&amp;{"Total";"1";"2";"3";"4";"5"},REP.lookup,0)),"")</f>
        <v>916</v>
      </c>
      <c r="J19" s="741">
        <f t="array" ref="J19:J24">IFERROR(INDEX(DATA!$T:$T,MATCH(CHARTYEAR&amp;".Accommodation - Bed Spaces.Non-Serviced Accommodation "&amp;{"Total";"1";"2";"3";"4";"5"},REP.lookup,0)),"")</f>
        <v>50962.967587864739</v>
      </c>
      <c r="K19" s="754">
        <f t="array" ref="K19:K24">IFERROR(IF(K$18="","",I19:I24-INDEX(DATA!$T:$T,MATCH(CHARTYEAR-1&amp;".Accommodation - Establishments.Non-Serviced Accommodation "&amp;{"Total";"1";"2";"3";"4";"5"},REP.lookup,0))),"")</f>
        <v>0</v>
      </c>
      <c r="L19" s="754">
        <f t="array" ref="L19:L24">IFERROR(IF(L$18="","",J19:J24-INDEX(DATA!$T:$T,MATCH(CHARTYEAR-1&amp;".Accommodation - Bed Spaces.Non-Serviced Accommodation "&amp;{"Total";"1";"2";"3";"4";"5"},REP.lookup,0))),"")</f>
        <v>776.29159165006422</v>
      </c>
      <c r="M19" s="754">
        <f t="array" ref="M19:M24">IFERROR(IF(M$18="","",I19:I24-INDEX(DATA!$T:$T,MATCH(INDEX(REP.yearsrange,1)&amp;".Accommodation - Establishments.Non-Serviced Accommodation "&amp;{"Total";"1";"2";"3";"4";"5"},REP.lookup,0))),"")</f>
        <v>472</v>
      </c>
      <c r="N19" s="754">
        <f t="array" ref="N19:N24">IFERROR(IF(N$18="","",J19:J24-INDEX(DATA!$T:$T,MATCH(INDEX(REP.yearsrange,1)&amp;".Accommodation - Bed Spaces.Non-Serviced Accommodation "&amp;{"Total";"1";"2";"3";"4";"5"},REP.lookup,0))),"")</f>
        <v>11038.529504173464</v>
      </c>
      <c r="O19" s="162"/>
      <c r="P19" s="697"/>
      <c r="Q19" s="696"/>
      <c r="R19" s="248"/>
      <c r="S19" s="418"/>
      <c r="T19" s="159"/>
      <c r="U19" s="418"/>
      <c r="V19" s="418"/>
      <c r="W19" s="418"/>
      <c r="X19" s="700"/>
      <c r="Y19" s="240"/>
      <c r="Z19" s="485"/>
      <c r="AA19" s="484"/>
      <c r="AB19" s="483"/>
    </row>
    <row r="20" spans="4:28" ht="16.2" customHeight="1" thickTop="1" thickBot="1" x14ac:dyDescent="0.35">
      <c r="E20" s="695" t="str">
        <f t="array" ref="E20:E24">IFERROR(IF(AVERAGE(I20:I24,K20:K24,M20:M24)&lt;&gt;0,INDEX(DATA!$G:$G,MATCH(CHARTYEAR&amp;".Accommodation - Establishments.Non-Serviced Accommodation "&amp;{"1";"2";"3";"4";"5"},REP.lookup,0)),""),"")</f>
        <v>Self catering</v>
      </c>
      <c r="F20" s="706"/>
      <c r="G20" s="696"/>
      <c r="H20" s="163"/>
      <c r="I20" s="743">
        <v>770</v>
      </c>
      <c r="J20" s="744">
        <v>4827</v>
      </c>
      <c r="K20" s="755">
        <v>0</v>
      </c>
      <c r="L20" s="755">
        <v>0</v>
      </c>
      <c r="M20" s="755">
        <v>481</v>
      </c>
      <c r="N20" s="756">
        <v>1924</v>
      </c>
      <c r="O20" s="162"/>
      <c r="P20" s="697"/>
      <c r="Q20" s="696"/>
      <c r="R20" s="248"/>
      <c r="S20" s="418"/>
      <c r="T20" s="159"/>
      <c r="U20" s="418"/>
      <c r="V20" s="418"/>
      <c r="W20" s="418"/>
      <c r="X20" s="700"/>
      <c r="Y20" s="240"/>
      <c r="Z20" s="485"/>
      <c r="AA20" s="484"/>
      <c r="AB20" s="483"/>
    </row>
    <row r="21" spans="4:28" ht="16.2" customHeight="1" thickBot="1" x14ac:dyDescent="0.35">
      <c r="E21" s="695" t="str">
        <v>Static caravans/chalets</v>
      </c>
      <c r="F21" s="706"/>
      <c r="G21" s="696"/>
      <c r="H21" s="163"/>
      <c r="I21" s="745">
        <v>88</v>
      </c>
      <c r="J21" s="746">
        <v>6895.2570679648015</v>
      </c>
      <c r="K21" s="757">
        <v>0</v>
      </c>
      <c r="L21" s="757">
        <v>0</v>
      </c>
      <c r="M21" s="757">
        <v>-16</v>
      </c>
      <c r="N21" s="758">
        <v>969.03351432316049</v>
      </c>
      <c r="O21" s="711"/>
      <c r="P21" s="707"/>
      <c r="Q21" s="707"/>
      <c r="R21" s="707"/>
      <c r="S21" s="707"/>
      <c r="T21" s="707"/>
      <c r="U21" s="707"/>
      <c r="V21" s="707"/>
      <c r="W21" s="707"/>
      <c r="X21" s="712"/>
      <c r="Y21" s="240"/>
      <c r="Z21" s="485"/>
      <c r="AA21" s="484"/>
      <c r="AB21" s="483"/>
    </row>
    <row r="22" spans="4:28" ht="16.2" customHeight="1" thickBot="1" x14ac:dyDescent="0.35">
      <c r="E22" s="695" t="str">
        <v>Touring caravans/camping</v>
      </c>
      <c r="F22" s="706"/>
      <c r="G22" s="696"/>
      <c r="H22" s="163"/>
      <c r="I22" s="745">
        <v>58</v>
      </c>
      <c r="J22" s="746">
        <v>7113</v>
      </c>
      <c r="K22" s="757">
        <v>0</v>
      </c>
      <c r="L22" s="757">
        <v>0</v>
      </c>
      <c r="M22" s="757">
        <v>7</v>
      </c>
      <c r="N22" s="758">
        <v>564</v>
      </c>
      <c r="O22" s="247"/>
      <c r="P22" s="701"/>
      <c r="Q22" s="701"/>
      <c r="R22" s="248"/>
      <c r="S22" s="248"/>
      <c r="T22" s="248"/>
      <c r="U22" s="248"/>
      <c r="V22" s="248"/>
      <c r="W22" s="697"/>
      <c r="X22" s="710"/>
      <c r="Y22" s="240"/>
      <c r="Z22" s="485"/>
      <c r="AA22" s="484"/>
      <c r="AB22" s="483"/>
    </row>
    <row r="23" spans="4:28" ht="16.2" customHeight="1" thickBot="1" x14ac:dyDescent="0.35">
      <c r="E23" s="695" t="str">
        <v>Not-for-hire static</v>
      </c>
      <c r="F23" s="706"/>
      <c r="G23" s="696"/>
      <c r="H23" s="163"/>
      <c r="I23" s="745">
        <v>0</v>
      </c>
      <c r="J23" s="746">
        <v>28317.686950009363</v>
      </c>
      <c r="K23" s="757">
        <v>0</v>
      </c>
      <c r="L23" s="757">
        <v>0</v>
      </c>
      <c r="M23" s="757">
        <v>0</v>
      </c>
      <c r="N23" s="758">
        <v>3771.4724199597295</v>
      </c>
      <c r="O23" s="162"/>
      <c r="P23" s="701"/>
      <c r="Q23" s="701"/>
      <c r="R23" s="605"/>
      <c r="S23" s="605"/>
      <c r="T23" s="605"/>
      <c r="U23" s="605"/>
      <c r="V23" s="605"/>
      <c r="W23" s="605"/>
      <c r="X23" s="702"/>
      <c r="Y23" s="240"/>
      <c r="AA23" s="485"/>
      <c r="AB23" s="483"/>
    </row>
    <row r="24" spans="4:28" ht="16.2" customHeight="1" thickBot="1" x14ac:dyDescent="0.35">
      <c r="E24" s="695" t="str">
        <v>Airbnb</v>
      </c>
      <c r="F24" s="706"/>
      <c r="G24" s="696"/>
      <c r="H24" s="163"/>
      <c r="I24" s="747">
        <v>0</v>
      </c>
      <c r="J24" s="748">
        <v>3810.0235698905744</v>
      </c>
      <c r="K24" s="759">
        <v>0</v>
      </c>
      <c r="L24" s="759">
        <v>776.29159165006604</v>
      </c>
      <c r="M24" s="759" t="str">
        <v/>
      </c>
      <c r="N24" s="760" t="str">
        <v/>
      </c>
      <c r="O24" s="162"/>
      <c r="P24" s="701"/>
      <c r="Q24" s="701"/>
      <c r="R24" s="159"/>
      <c r="S24" s="159"/>
      <c r="T24" s="159"/>
      <c r="U24" s="159"/>
      <c r="V24" s="159"/>
      <c r="W24" s="159"/>
      <c r="X24" s="416"/>
      <c r="Y24" s="240"/>
      <c r="AA24" s="485"/>
      <c r="AB24" s="483"/>
    </row>
    <row r="25" spans="4:28" ht="16.2" customHeight="1" thickTop="1" thickBot="1" x14ac:dyDescent="0.35">
      <c r="E25" s="695"/>
      <c r="F25" s="706"/>
      <c r="G25" s="696"/>
      <c r="H25" s="163"/>
      <c r="I25" s="732"/>
      <c r="J25" s="732"/>
      <c r="K25" s="733"/>
      <c r="L25" s="733"/>
      <c r="M25" s="733"/>
      <c r="N25" s="716"/>
      <c r="O25" s="162"/>
      <c r="P25" s="701"/>
      <c r="Q25" s="701"/>
      <c r="R25" s="159"/>
      <c r="S25" s="159"/>
      <c r="T25" s="159"/>
      <c r="U25" s="159"/>
      <c r="V25" s="159"/>
      <c r="W25" s="159"/>
      <c r="X25" s="416"/>
      <c r="Y25" s="240"/>
      <c r="AA25" s="485"/>
      <c r="AB25" s="483"/>
    </row>
    <row r="26" spans="4:28" ht="16.2" customHeight="1" thickTop="1" thickBot="1" x14ac:dyDescent="0.35">
      <c r="E26" s="1132" t="str">
        <f>"DISTRIBUTION BY TYPE OF ACCOMMODATION"&amp;CHAR(10)&amp;CHARTYEAR</f>
        <v>DISTRIBUTION BY TYPE OF ACCOMMODATION
2022</v>
      </c>
      <c r="F26" s="1133"/>
      <c r="G26" s="1133"/>
      <c r="H26" s="1133"/>
      <c r="I26" s="1126">
        <f>CHARTYEAR</f>
        <v>2022</v>
      </c>
      <c r="J26" s="1127"/>
      <c r="K26" s="1119" t="str">
        <f>IF(CHARTYEAR=INDEX(REP.yearsrange,1),"","Change on "&amp;INDEX(REP.yearsrange,MATCH(CHARTYEAR,REP.yearsrange,0)-1))</f>
        <v>Change on 2021</v>
      </c>
      <c r="L26" s="1120"/>
      <c r="M26" s="1113" t="str">
        <f>IF(OR(CHARTYEAR=INDEX(REP.yearsrange,1),CHARTYEAR=INDEX(REP.yearsrange,2)),"","Change on "&amp;INDEX(REP.yearsrange,1))</f>
        <v>Change on 2011</v>
      </c>
      <c r="N26" s="1114"/>
      <c r="O26" s="162"/>
      <c r="P26" s="163"/>
      <c r="Q26" s="163"/>
      <c r="R26" s="248"/>
      <c r="S26" s="418"/>
      <c r="T26" s="418"/>
      <c r="U26" s="418"/>
      <c r="V26" s="418"/>
      <c r="W26" s="418"/>
      <c r="X26" s="700"/>
      <c r="Y26" s="240"/>
      <c r="Z26" s="485"/>
      <c r="AA26" s="484"/>
      <c r="AB26" s="483"/>
    </row>
    <row r="27" spans="4:28" ht="16.2" customHeight="1" thickTop="1" thickBot="1" x14ac:dyDescent="0.35">
      <c r="D27" s="196"/>
      <c r="E27" s="1134"/>
      <c r="F27" s="1135"/>
      <c r="G27" s="1135"/>
      <c r="H27" s="1135"/>
      <c r="I27" s="694" t="s">
        <v>175</v>
      </c>
      <c r="J27" s="694" t="s">
        <v>176</v>
      </c>
      <c r="K27" s="130" t="str">
        <f>IF(K26="","",I27)</f>
        <v>Est.</v>
      </c>
      <c r="L27" s="130" t="str">
        <f>IF(K26="","",J27)</f>
        <v>Beds</v>
      </c>
      <c r="M27" s="742" t="str">
        <f>IF(M26="","",I27)</f>
        <v>Est.</v>
      </c>
      <c r="N27" s="742" t="str">
        <f>IF(M26="","",J27)</f>
        <v>Beds</v>
      </c>
      <c r="O27" s="162"/>
      <c r="P27" s="163"/>
      <c r="Q27" s="163"/>
      <c r="R27" s="248"/>
      <c r="S27" s="418"/>
      <c r="T27" s="418"/>
      <c r="U27" s="418"/>
      <c r="V27" s="418"/>
      <c r="W27" s="418"/>
      <c r="X27" s="700"/>
      <c r="Y27" s="240"/>
      <c r="Z27" s="485"/>
      <c r="AA27" s="484"/>
      <c r="AB27" s="483"/>
    </row>
    <row r="28" spans="4:28" ht="16.2" customHeight="1" thickTop="1" thickBot="1" x14ac:dyDescent="0.35">
      <c r="D28" s="196"/>
      <c r="E28" s="726" t="s">
        <v>177</v>
      </c>
      <c r="F28" s="728"/>
      <c r="G28" s="730"/>
      <c r="H28" s="728"/>
      <c r="I28" s="741">
        <f>SUM(I10,I19)</f>
        <v>1233</v>
      </c>
      <c r="J28" s="741">
        <f>SUM(J10,J19)</f>
        <v>60255.967587864739</v>
      </c>
      <c r="K28" s="754">
        <f>IF(CHARTYEAR.no&gt;1,SUM(K10,K19),"")</f>
        <v>0</v>
      </c>
      <c r="L28" s="754">
        <f>IF(CHARTYEAR.no&gt;1,SUM(L10,L19),"")</f>
        <v>776.29159165006422</v>
      </c>
      <c r="M28" s="754">
        <f>IF(CHARTYEAR.no&gt;2,SUM(M10,M19),"")</f>
        <v>345</v>
      </c>
      <c r="N28" s="754">
        <f>IF(CHARTYEAR.no&gt;2,SUM(N10,N19),"")</f>
        <v>8101.5295041734644</v>
      </c>
      <c r="O28" s="162"/>
      <c r="P28" s="163"/>
      <c r="Q28" s="163"/>
      <c r="R28" s="248"/>
      <c r="S28" s="418"/>
      <c r="T28" s="418"/>
      <c r="U28" s="418"/>
      <c r="V28" s="418"/>
      <c r="W28" s="418"/>
      <c r="X28" s="700"/>
      <c r="Y28" s="240"/>
      <c r="Z28" s="485"/>
      <c r="AA28" s="484"/>
      <c r="AB28" s="484"/>
    </row>
    <row r="29" spans="4:28" ht="16.2" customHeight="1" thickTop="1" thickBot="1" x14ac:dyDescent="0.35">
      <c r="D29" s="196"/>
      <c r="E29" s="695" t="s">
        <v>178</v>
      </c>
      <c r="F29" s="696"/>
      <c r="G29" s="699"/>
      <c r="H29" s="696"/>
      <c r="I29" s="772">
        <f>IFERROR(I$10/I$28,0)</f>
        <v>0.25709651257096511</v>
      </c>
      <c r="J29" s="773">
        <f>IFERROR(J$10/J$28,0)</f>
        <v>0.15422538832272548</v>
      </c>
      <c r="K29" s="749"/>
      <c r="L29" s="749"/>
      <c r="M29" s="749"/>
      <c r="N29" s="750"/>
      <c r="O29" s="162"/>
      <c r="P29" s="701"/>
      <c r="Q29" s="701"/>
      <c r="R29" s="248"/>
      <c r="S29" s="418"/>
      <c r="T29" s="418"/>
      <c r="U29" s="418"/>
      <c r="V29" s="418"/>
      <c r="W29" s="418"/>
      <c r="X29" s="700"/>
      <c r="Y29" s="240"/>
      <c r="Z29" s="485"/>
      <c r="AA29" s="484"/>
      <c r="AB29" s="484"/>
    </row>
    <row r="30" spans="4:28" ht="16.2" customHeight="1" thickBot="1" x14ac:dyDescent="0.35">
      <c r="D30" s="196"/>
      <c r="E30" s="695" t="s">
        <v>179</v>
      </c>
      <c r="F30" s="707"/>
      <c r="G30" s="707"/>
      <c r="H30" s="707"/>
      <c r="I30" s="774">
        <f>IFERROR(I$19/I$28,0)</f>
        <v>0.74290348742903489</v>
      </c>
      <c r="J30" s="775">
        <f>IFERROR(J$19/J$28,0)</f>
        <v>0.84577461167727452</v>
      </c>
      <c r="K30" s="751"/>
      <c r="L30" s="751"/>
      <c r="M30" s="751"/>
      <c r="N30" s="752"/>
      <c r="O30" s="162"/>
      <c r="P30" s="488"/>
      <c r="Q30" s="488"/>
      <c r="R30" s="607"/>
      <c r="S30" s="418"/>
      <c r="T30" s="440"/>
      <c r="U30" s="703"/>
      <c r="V30" s="418"/>
      <c r="W30" s="418"/>
      <c r="X30" s="441"/>
      <c r="Y30" s="240"/>
      <c r="Z30" s="485"/>
      <c r="AA30" s="484"/>
      <c r="AB30" s="484"/>
    </row>
    <row r="31" spans="4:28" ht="16.2" customHeight="1" thickTop="1" x14ac:dyDescent="0.3">
      <c r="D31" s="196"/>
      <c r="E31" s="695"/>
      <c r="F31" s="706"/>
      <c r="G31" s="696"/>
      <c r="H31" s="163"/>
      <c r="I31" s="163"/>
      <c r="J31" s="163"/>
      <c r="K31" s="163"/>
      <c r="L31" s="163"/>
      <c r="M31" s="163"/>
      <c r="N31" s="714"/>
      <c r="O31" s="162"/>
      <c r="P31" s="492"/>
      <c r="Q31" s="492"/>
      <c r="R31" s="159"/>
      <c r="S31" s="418"/>
      <c r="T31" s="440"/>
      <c r="U31" s="440"/>
      <c r="V31" s="418"/>
      <c r="W31" s="418"/>
      <c r="X31" s="441"/>
      <c r="Y31" s="240"/>
      <c r="Z31" s="485"/>
      <c r="AA31" s="484"/>
      <c r="AB31" s="483"/>
    </row>
    <row r="32" spans="4:28" ht="16.2" customHeight="1" thickBot="1" x14ac:dyDescent="0.35">
      <c r="D32" s="196"/>
      <c r="E32" s="1132" t="str">
        <f>"SEASONAL AVAILABILITY OF BED SUPPLY"&amp;CHAR(10)&amp;CHARTYEAR</f>
        <v>SEASONAL AVAILABILITY OF BED SUPPLY
2022</v>
      </c>
      <c r="F32" s="1133"/>
      <c r="G32" s="1133"/>
      <c r="H32" s="1133"/>
      <c r="I32" s="842">
        <f>CHARTYEAR</f>
        <v>2022</v>
      </c>
      <c r="J32" s="843"/>
      <c r="K32" s="843"/>
      <c r="L32" s="843"/>
      <c r="M32" s="843"/>
      <c r="N32" s="843"/>
      <c r="O32" s="843"/>
      <c r="P32" s="843"/>
      <c r="Q32" s="843"/>
      <c r="R32" s="843"/>
      <c r="S32" s="843"/>
      <c r="T32" s="843"/>
      <c r="U32" s="440"/>
      <c r="V32" s="418"/>
      <c r="W32" s="418"/>
      <c r="X32" s="441"/>
      <c r="Y32" s="240"/>
      <c r="Z32" s="485"/>
      <c r="AA32" s="484"/>
      <c r="AB32" s="483"/>
    </row>
    <row r="33" spans="4:26" ht="16.2" customHeight="1" thickTop="1" thickBot="1" x14ac:dyDescent="0.35">
      <c r="D33" s="196"/>
      <c r="E33" s="1134"/>
      <c r="F33" s="1135"/>
      <c r="G33" s="1135"/>
      <c r="H33" s="1135"/>
      <c r="I33" s="737" t="s">
        <v>26</v>
      </c>
      <c r="J33" s="737" t="s">
        <v>27</v>
      </c>
      <c r="K33" s="737" t="s">
        <v>28</v>
      </c>
      <c r="L33" s="781" t="s">
        <v>29</v>
      </c>
      <c r="M33" s="738" t="s">
        <v>30</v>
      </c>
      <c r="N33" s="738" t="s">
        <v>31</v>
      </c>
      <c r="O33" s="785" t="s">
        <v>32</v>
      </c>
      <c r="P33" s="739" t="s">
        <v>33</v>
      </c>
      <c r="Q33" s="739" t="s">
        <v>34</v>
      </c>
      <c r="R33" s="769" t="s">
        <v>35</v>
      </c>
      <c r="S33" s="740" t="s">
        <v>36</v>
      </c>
      <c r="T33" s="740" t="s">
        <v>37</v>
      </c>
      <c r="U33" s="440"/>
      <c r="V33" s="418"/>
      <c r="W33" s="418"/>
      <c r="X33" s="441"/>
      <c r="Y33" s="240"/>
      <c r="Z33" s="240"/>
    </row>
    <row r="34" spans="4:26" ht="16.2" customHeight="1" thickTop="1" thickBot="1" x14ac:dyDescent="0.35">
      <c r="D34" s="196"/>
      <c r="E34" s="726" t="s">
        <v>177</v>
      </c>
      <c r="F34" s="728"/>
      <c r="G34" s="730"/>
      <c r="H34" s="728"/>
      <c r="I34" s="776">
        <f>IFERROR(SUM(I35:I36),"")</f>
        <v>16316.700694405274</v>
      </c>
      <c r="J34" s="776">
        <f t="shared" ref="J34:T34" si="0">IFERROR(SUM(J35:J36),"")</f>
        <v>16721.514520509918</v>
      </c>
      <c r="K34" s="776">
        <f t="shared" si="0"/>
        <v>52658.306543139865</v>
      </c>
      <c r="L34" s="782">
        <f t="shared" si="0"/>
        <v>59255.195529563738</v>
      </c>
      <c r="M34" s="776">
        <f t="shared" si="0"/>
        <v>59053.603467816283</v>
      </c>
      <c r="N34" s="776">
        <f t="shared" si="0"/>
        <v>59388.578930221222</v>
      </c>
      <c r="O34" s="782">
        <f t="shared" si="0"/>
        <v>59283.630902560668</v>
      </c>
      <c r="P34" s="776">
        <f t="shared" si="0"/>
        <v>59272.11432069468</v>
      </c>
      <c r="Q34" s="776">
        <f t="shared" si="0"/>
        <v>59783.156939593864</v>
      </c>
      <c r="R34" s="782">
        <f t="shared" si="0"/>
        <v>59781.145023941302</v>
      </c>
      <c r="S34" s="776">
        <f t="shared" si="0"/>
        <v>39959.858853130056</v>
      </c>
      <c r="T34" s="776">
        <f t="shared" si="0"/>
        <v>19711.023569890574</v>
      </c>
      <c r="U34" s="418"/>
      <c r="V34" s="418"/>
      <c r="W34" s="418"/>
      <c r="X34" s="441"/>
      <c r="Y34" s="705"/>
      <c r="Z34" s="240"/>
    </row>
    <row r="35" spans="4:26" ht="16.2" customHeight="1" thickTop="1" thickBot="1" x14ac:dyDescent="0.35">
      <c r="D35" s="196"/>
      <c r="E35" s="695" t="s">
        <v>43</v>
      </c>
      <c r="F35" s="696"/>
      <c r="G35" s="699"/>
      <c r="H35" s="696"/>
      <c r="I35" s="770">
        <f>IFERROR(INDEX(DATA!H:H,MATCH(CHARTYEAR&amp;".Accommodation.Serviced Accommodation",REP.lookup,0)),"")</f>
        <v>7712</v>
      </c>
      <c r="J35" s="771">
        <f>IFERROR(INDEX(DATA!I:I,MATCH(CHARTYEAR&amp;".Accommodation.Serviced Accommodation",REP.lookup,0)),"")</f>
        <v>8389</v>
      </c>
      <c r="K35" s="779">
        <f>IFERROR(INDEX(DATA!J:J,MATCH(CHARTYEAR&amp;".Accommodation.Serviced Accommodation",REP.lookup,0)),"")</f>
        <v>8992</v>
      </c>
      <c r="L35" s="783">
        <f>IFERROR(INDEX(DATA!K:K,MATCH(CHARTYEAR&amp;".Accommodation.Serviced Accommodation",REP.lookup,0)),"")</f>
        <v>9293</v>
      </c>
      <c r="M35" s="771">
        <f>IFERROR(INDEX(DATA!L:L,MATCH(CHARTYEAR&amp;".Accommodation.Serviced Accommodation",REP.lookup,0)),"")</f>
        <v>9293</v>
      </c>
      <c r="N35" s="779">
        <f>IFERROR(INDEX(DATA!M:M,MATCH(CHARTYEAR&amp;".Accommodation.Serviced Accommodation",REP.lookup,0)),"")</f>
        <v>9293</v>
      </c>
      <c r="O35" s="783">
        <f>IFERROR(INDEX(DATA!N:N,MATCH(CHARTYEAR&amp;".Accommodation.Serviced Accommodation",REP.lookup,0)),"")</f>
        <v>9293</v>
      </c>
      <c r="P35" s="771">
        <f>IFERROR(INDEX(DATA!O:O,MATCH(CHARTYEAR&amp;".Accommodation.Serviced Accommodation",REP.lookup,0)),"")</f>
        <v>9293</v>
      </c>
      <c r="Q35" s="779">
        <f>IFERROR(INDEX(DATA!P:P,MATCH(CHARTYEAR&amp;".Accommodation.Serviced Accommodation",REP.lookup,0)),"")</f>
        <v>9293</v>
      </c>
      <c r="R35" s="783">
        <f>IFERROR(INDEX(DATA!Q:Q,MATCH(CHARTYEAR&amp;".Accommodation.Serviced Accommodation",REP.lookup,0)),"")</f>
        <v>9236</v>
      </c>
      <c r="S35" s="771">
        <f>IFERROR(INDEX(DATA!R:R,MATCH(CHARTYEAR&amp;".Accommodation.Serviced Accommodation",REP.lookup,0)),"")</f>
        <v>8953</v>
      </c>
      <c r="T35" s="779">
        <f>IFERROR(INDEX(DATA!S:S,MATCH(CHARTYEAR&amp;".Accommodation.Serviced Accommodation",REP.lookup,0)),"")</f>
        <v>8382</v>
      </c>
      <c r="U35" s="418"/>
      <c r="V35" s="418"/>
      <c r="W35" s="418"/>
      <c r="X35" s="700"/>
      <c r="Y35" s="240"/>
      <c r="Z35" s="240"/>
    </row>
    <row r="36" spans="4:26" ht="16.2" customHeight="1" thickBot="1" x14ac:dyDescent="0.35">
      <c r="D36" s="196"/>
      <c r="E36" s="695" t="s">
        <v>48</v>
      </c>
      <c r="F36" s="707"/>
      <c r="G36" s="707"/>
      <c r="H36" s="707"/>
      <c r="I36" s="777">
        <f>IFERROR(INDEX(DATA!H:H,MATCH(CHARTYEAR&amp;".Accommodation.Non-Serviced Accommodation",REP.lookup,0)),"")</f>
        <v>8604.7006944052737</v>
      </c>
      <c r="J36" s="778">
        <f>IFERROR(INDEX(DATA!I:I,MATCH(CHARTYEAR&amp;".Accommodation.Non-Serviced Accommodation",REP.lookup,0)),"")</f>
        <v>8332.5145205099161</v>
      </c>
      <c r="K36" s="780">
        <f>IFERROR(INDEX(DATA!J:J,MATCH(CHARTYEAR&amp;".Accommodation.Non-Serviced Accommodation",REP.lookup,0)),"")</f>
        <v>43666.306543139865</v>
      </c>
      <c r="L36" s="784">
        <f>IFERROR(INDEX(DATA!K:K,MATCH(CHARTYEAR&amp;".Accommodation.Non-Serviced Accommodation",REP.lookup,0)),"")</f>
        <v>49962.195529563738</v>
      </c>
      <c r="M36" s="778">
        <f>IFERROR(INDEX(DATA!L:L,MATCH(CHARTYEAR&amp;".Accommodation.Non-Serviced Accommodation",REP.lookup,0)),"")</f>
        <v>49760.603467816283</v>
      </c>
      <c r="N36" s="780">
        <f>IFERROR(INDEX(DATA!M:M,MATCH(CHARTYEAR&amp;".Accommodation.Non-Serviced Accommodation",REP.lookup,0)),"")</f>
        <v>50095.578930221222</v>
      </c>
      <c r="O36" s="784">
        <f>IFERROR(INDEX(DATA!N:N,MATCH(CHARTYEAR&amp;".Accommodation.Non-Serviced Accommodation",REP.lookup,0)),"")</f>
        <v>49990.630902560668</v>
      </c>
      <c r="P36" s="778">
        <f>IFERROR(INDEX(DATA!O:O,MATCH(CHARTYEAR&amp;".Accommodation.Non-Serviced Accommodation",REP.lookup,0)),"")</f>
        <v>49979.11432069468</v>
      </c>
      <c r="Q36" s="780">
        <f>IFERROR(INDEX(DATA!P:P,MATCH(CHARTYEAR&amp;".Accommodation.Non-Serviced Accommodation",REP.lookup,0)),"")</f>
        <v>50490.156939593864</v>
      </c>
      <c r="R36" s="784">
        <f>IFERROR(INDEX(DATA!Q:Q,MATCH(CHARTYEAR&amp;".Accommodation.Non-Serviced Accommodation",REP.lookup,0)),"")</f>
        <v>50545.145023941302</v>
      </c>
      <c r="S36" s="778">
        <f>IFERROR(INDEX(DATA!R:R,MATCH(CHARTYEAR&amp;".Accommodation.Non-Serviced Accommodation",REP.lookup,0)),"")</f>
        <v>31006.858853130056</v>
      </c>
      <c r="T36" s="780">
        <f>IFERROR(INDEX(DATA!S:S,MATCH(CHARTYEAR&amp;".Accommodation.Non-Serviced Accommodation",REP.lookup,0)),"")</f>
        <v>11329.023569890574</v>
      </c>
      <c r="U36" s="418"/>
      <c r="V36" s="418"/>
      <c r="W36" s="418"/>
      <c r="X36" s="700"/>
      <c r="Y36" s="240"/>
      <c r="Z36" s="240"/>
    </row>
    <row r="37" spans="4:26" ht="16.2" customHeight="1" thickTop="1" thickBot="1" x14ac:dyDescent="0.35">
      <c r="D37" s="196"/>
      <c r="E37" s="695"/>
      <c r="F37" s="706"/>
      <c r="G37" s="696"/>
      <c r="H37" s="163"/>
      <c r="I37" s="163"/>
      <c r="J37" s="163"/>
      <c r="K37" s="163"/>
      <c r="L37" s="163"/>
      <c r="M37" s="163"/>
      <c r="N37" s="714"/>
      <c r="O37" s="715"/>
      <c r="P37" s="713"/>
      <c r="Q37" s="713"/>
      <c r="R37" s="713"/>
      <c r="S37" s="276"/>
      <c r="T37" s="276"/>
      <c r="U37" s="276"/>
      <c r="V37" s="276"/>
      <c r="W37" s="276"/>
      <c r="X37" s="704"/>
      <c r="Y37" s="240"/>
      <c r="Z37" s="240"/>
    </row>
    <row r="38" spans="4:26"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6" ht="16.2" customHeight="1" thickTop="1" x14ac:dyDescent="0.3"/>
    <row r="40" spans="4:26" ht="16.2" customHeight="1" x14ac:dyDescent="0.3">
      <c r="G40" s="240"/>
      <c r="H40" s="240"/>
      <c r="I40" s="240"/>
      <c r="J40" s="240"/>
      <c r="K40" s="240"/>
      <c r="L40" s="240"/>
      <c r="M40" s="240"/>
      <c r="N40" s="240"/>
      <c r="O40" s="240"/>
      <c r="P40" s="240"/>
      <c r="Q40" s="240"/>
      <c r="R40" s="240"/>
      <c r="S40" s="240"/>
      <c r="T40" s="240"/>
      <c r="U40" s="240"/>
      <c r="V40" s="240"/>
    </row>
    <row r="41" spans="4:26" ht="16.2" customHeight="1" x14ac:dyDescent="0.3">
      <c r="G41" s="240"/>
      <c r="H41" s="240"/>
      <c r="I41" s="240"/>
      <c r="J41" s="240"/>
      <c r="K41" s="240"/>
      <c r="L41" s="240"/>
      <c r="M41" s="240"/>
      <c r="N41" s="240"/>
      <c r="O41" s="240"/>
      <c r="P41" s="240"/>
      <c r="Q41" s="240"/>
      <c r="R41" s="240"/>
      <c r="S41" s="240"/>
      <c r="T41" s="240"/>
      <c r="U41" s="240"/>
      <c r="V41" s="240"/>
    </row>
    <row r="42" spans="4:26" ht="16.2" customHeight="1" x14ac:dyDescent="0.3">
      <c r="N42" s="240"/>
    </row>
    <row r="43" spans="4:26" ht="16.2" customHeight="1" x14ac:dyDescent="0.3">
      <c r="N43" s="240"/>
    </row>
    <row r="44" spans="4:26" ht="16.2" customHeight="1" x14ac:dyDescent="0.3">
      <c r="N44" s="240"/>
    </row>
    <row r="45" spans="4:26" ht="16.2" customHeight="1" x14ac:dyDescent="0.3">
      <c r="N45" s="240"/>
    </row>
    <row r="46" spans="4:26" ht="16.2" customHeight="1" x14ac:dyDescent="0.3">
      <c r="N46" s="240"/>
    </row>
    <row r="47" spans="4:26" ht="16.2" customHeight="1" x14ac:dyDescent="0.3">
      <c r="N47"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1umYiMRFlEsO/paTGLC1ilKb8rH2nfyD9VNONIsVYUsxgdPCyZ/lddiNLnQa8Z6UHgrxEBtf31eHA9dWZU1e7w==" saltValue="lTwCNBGg2TuoQXp+ChOXuQ==" spinCount="100000" sheet="1" objects="1" scenarios="1"/>
  <mergeCells count="18">
    <mergeCell ref="M26:N26"/>
    <mergeCell ref="K17:L17"/>
    <mergeCell ref="O8:X9"/>
    <mergeCell ref="E32:H33"/>
    <mergeCell ref="I32:T32"/>
    <mergeCell ref="E26:H27"/>
    <mergeCell ref="I26:J26"/>
    <mergeCell ref="K26:L26"/>
    <mergeCell ref="O6:R7"/>
    <mergeCell ref="S6:T7"/>
    <mergeCell ref="U6:X7"/>
    <mergeCell ref="M17:N17"/>
    <mergeCell ref="E8:H9"/>
    <mergeCell ref="K8:L8"/>
    <mergeCell ref="M8:N8"/>
    <mergeCell ref="E17:H18"/>
    <mergeCell ref="I8:J8"/>
    <mergeCell ref="I17:J17"/>
  </mergeCells>
  <conditionalFormatting sqref="I10:L16 I19:L25 I28:L28">
    <cfRule type="expression" dxfId="25" priority="27">
      <formula>$E10=""</formula>
    </cfRule>
  </conditionalFormatting>
  <conditionalFormatting sqref="I11:N16">
    <cfRule type="expression" dxfId="24" priority="32">
      <formula>$I$10=0</formula>
    </cfRule>
  </conditionalFormatting>
  <conditionalFormatting sqref="I34:T34">
    <cfRule type="expression" dxfId="23" priority="5">
      <formula>$E34=""</formula>
    </cfRule>
  </conditionalFormatting>
  <conditionalFormatting sqref="K8:L9">
    <cfRule type="expression" dxfId="22" priority="31">
      <formula>CHARTYEAR.no&gt;1</formula>
    </cfRule>
  </conditionalFormatting>
  <conditionalFormatting sqref="K10:L16 K19:L25 K28:L28">
    <cfRule type="expression" dxfId="21" priority="36">
      <formula>CHARTYEAR.no&gt;1</formula>
    </cfRule>
  </conditionalFormatting>
  <conditionalFormatting sqref="K17:L18">
    <cfRule type="expression" dxfId="20" priority="15">
      <formula>CHARTYEAR.no&gt;1</formula>
    </cfRule>
  </conditionalFormatting>
  <conditionalFormatting sqref="K26:L27">
    <cfRule type="expression" dxfId="19" priority="12">
      <formula>CHARTYEAR.no&gt;1</formula>
    </cfRule>
  </conditionalFormatting>
  <conditionalFormatting sqref="M8:N9">
    <cfRule type="expression" dxfId="18" priority="30">
      <formula>CHARTYEAR.no&gt;2</formula>
    </cfRule>
  </conditionalFormatting>
  <conditionalFormatting sqref="M17:N18">
    <cfRule type="expression" dxfId="17" priority="14">
      <formula>CHARTYEAR.no&gt;2</formula>
    </cfRule>
  </conditionalFormatting>
  <conditionalFormatting sqref="M26:N27">
    <cfRule type="expression" dxfId="16" priority="11">
      <formula>CHARTYEAR.no&gt;2</formula>
    </cfRule>
  </conditionalFormatting>
  <conditionalFormatting sqref="P26:Q27">
    <cfRule type="expression" dxfId="15" priority="63">
      <formula>AVERAGE($O26:$Q26)&gt;2500</formula>
    </cfRule>
  </conditionalFormatting>
  <conditionalFormatting sqref="S16:V16">
    <cfRule type="expression" dxfId="14" priority="13">
      <formula>$O16=""</formula>
    </cfRule>
  </conditionalFormatting>
  <conditionalFormatting sqref="S16:X16 I20:N25">
    <cfRule type="expression" dxfId="13" priority="62">
      <formula>$I$19=0</formula>
    </cfRule>
  </conditionalFormatting>
  <conditionalFormatting sqref="U16:V16">
    <cfRule type="expression" dxfId="12" priority="17">
      <formula>CHARTYEAR.no&gt;1</formula>
    </cfRule>
  </conditionalFormatting>
  <conditionalFormatting sqref="AA28">
    <cfRule type="expression" dxfId="11" priority="51">
      <formula>AA28&gt;2500</formula>
    </cfRule>
  </conditionalFormatting>
  <conditionalFormatting sqref="AB28:AB30">
    <cfRule type="expression" dxfId="10" priority="50">
      <formula>AB28&gt;2500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5" ht="16.2" hidden="1" customHeight="1" x14ac:dyDescent="0.3">
      <c r="A1" s="110" t="str">
        <f ca="1">MID(CELL("filename",A1),FIND("]",CELL("filename",A1))+1,255)</f>
        <v>SECTORAL ANALYSIS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A2" s="618">
        <f ca="1">IF(($A$3/1000000)&gt;1,1000000,IF(($A$3/1000)&gt;1,1000,1))</f>
        <v>1000</v>
      </c>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623173.28519386449</v>
      </c>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394" t="str">
        <f>REP.title1</f>
        <v>STEAM FINAL TREND REPORT FOR 2011-2022</v>
      </c>
      <c r="F6" s="395"/>
      <c r="G6" s="395"/>
      <c r="H6" s="395"/>
      <c r="I6" s="395"/>
      <c r="J6" s="395"/>
      <c r="K6" s="395"/>
      <c r="L6" s="395"/>
      <c r="M6" s="395"/>
      <c r="N6" s="1157"/>
      <c r="O6" s="1158"/>
      <c r="P6" s="1159" t="str">
        <f>MIN(REP.yearsrange)&amp;" to "&amp;MAX(REP.yearsrange)</f>
        <v>2011 to 2022</v>
      </c>
      <c r="Q6" s="1160"/>
      <c r="R6" s="1161"/>
      <c r="S6" s="1147" t="s">
        <v>38</v>
      </c>
      <c r="T6" s="1148"/>
      <c r="U6" s="1151" t="str">
        <f>IF(REP.indexed="YES","SECTORAL ANALYSIS"&amp;CHAR(10)&amp;"Indexed","SECTORAL ANALYSIS"&amp;CHAR(10)&amp;"Historic Prices")</f>
        <v>SECTORAL ANALYSIS
Indexed</v>
      </c>
      <c r="V6" s="1152"/>
      <c r="W6" s="1152"/>
      <c r="X6" s="1153"/>
    </row>
    <row r="7" spans="1:25" ht="16.2" customHeight="1" thickBot="1" x14ac:dyDescent="0.35">
      <c r="E7" s="396" t="str">
        <f>REP.title2</f>
        <v>CONWY COUNTY BOROUGH COUNCIL</v>
      </c>
      <c r="F7" s="397"/>
      <c r="G7" s="397"/>
      <c r="H7" s="397"/>
      <c r="I7" s="398"/>
      <c r="J7" s="398"/>
      <c r="K7" s="398"/>
      <c r="L7" s="398"/>
      <c r="M7" s="907"/>
      <c r="N7" s="907"/>
      <c r="O7" s="908"/>
      <c r="P7" s="1162" t="str">
        <f>IF(REP.indexed="YES",MAX(REP.yearsrange)&amp;" Prices","Historic Prices")</f>
        <v>2022 Prices</v>
      </c>
      <c r="Q7" s="1163"/>
      <c r="R7" s="1164"/>
      <c r="S7" s="1149"/>
      <c r="T7" s="1150"/>
      <c r="U7" s="1154"/>
      <c r="V7" s="1155"/>
      <c r="W7" s="1155"/>
      <c r="X7" s="1156"/>
    </row>
    <row r="8" spans="1:25" s="125" customFormat="1" ht="16.2" customHeight="1" thickTop="1" thickBot="1" x14ac:dyDescent="0.35">
      <c r="E8" s="1006" t="str">
        <f>UPPER('COMPARATIVE HEADLINES'!E25)</f>
        <v>SECTORAL DISTRIBUTION OF ECONOMIC IMPACT - £BN INCLUDING VAT INDEXED TO 2022</v>
      </c>
      <c r="F8" s="1007"/>
      <c r="G8" s="1007"/>
      <c r="H8" s="1007"/>
      <c r="I8" s="1007"/>
      <c r="J8" s="1007"/>
      <c r="K8" s="1007"/>
      <c r="L8" s="1007"/>
      <c r="M8" s="1007"/>
      <c r="N8" s="1007"/>
      <c r="O8" s="1007"/>
      <c r="P8" s="1007"/>
      <c r="Q8" s="1007"/>
      <c r="R8" s="1008"/>
      <c r="S8" s="1138"/>
      <c r="T8" s="1139"/>
      <c r="U8" s="1139"/>
      <c r="V8" s="1139"/>
      <c r="W8" s="1139"/>
      <c r="X8" s="1140"/>
    </row>
    <row r="9" spans="1:25" ht="16.2" customHeight="1" thickTop="1" thickBot="1" x14ac:dyDescent="0.35">
      <c r="E9" s="1136" t="s">
        <v>142</v>
      </c>
      <c r="F9" s="1137"/>
      <c r="G9" s="210">
        <f t="array" ref="G9:R9">TRANSPOSE(REP.yearsrange)</f>
        <v>2011</v>
      </c>
      <c r="H9" s="210">
        <v>2012</v>
      </c>
      <c r="I9" s="210">
        <v>2013</v>
      </c>
      <c r="J9" s="210">
        <v>2014</v>
      </c>
      <c r="K9" s="210">
        <v>2015</v>
      </c>
      <c r="L9" s="210">
        <v>2016</v>
      </c>
      <c r="M9" s="210">
        <v>2017</v>
      </c>
      <c r="N9" s="210">
        <v>2018</v>
      </c>
      <c r="O9" s="210">
        <v>2019</v>
      </c>
      <c r="P9" s="210">
        <v>2020</v>
      </c>
      <c r="Q9" s="210">
        <v>2021</v>
      </c>
      <c r="R9" s="210">
        <v>2022</v>
      </c>
      <c r="S9" s="211">
        <f>CHARTYEAR</f>
        <v>2022</v>
      </c>
      <c r="T9" s="212"/>
      <c r="U9" s="213"/>
      <c r="V9" s="213"/>
      <c r="W9" s="213"/>
      <c r="X9" s="213"/>
    </row>
    <row r="10" spans="1:25" ht="16.2" customHeight="1" thickTop="1" thickBot="1" x14ac:dyDescent="0.35">
      <c r="E10" s="214" t="s">
        <v>23</v>
      </c>
      <c r="F10" s="194" t="str">
        <f ca="1">IF($A$2=1,"£000s",IF(A2=1000,"£M","£Bn"))</f>
        <v>£M</v>
      </c>
      <c r="G10" s="642">
        <f t="array" aca="1" ref="G10:G19" ca="1">IFERROR(INDEX(DATA!$T:$T,MATCH(G$9&amp;".ECONOMIC IMPACT."&amp;$E10:$E19,REP.lookup,0))*INDEX(REP.indexationfactors,MATCH(G$9,REP.yearsrange,0))/$A$2,"")</f>
        <v>125.0618861922573</v>
      </c>
      <c r="H10" s="642">
        <f t="array" aca="1" ref="H10:H19" ca="1">IFERROR(INDEX(DATA!$T:$T,MATCH(H$9&amp;".ECONOMIC IMPACT."&amp;$E10:$E19,REP.lookup,0))*INDEX(REP.indexationfactors,MATCH(H$9,REP.yearsrange,0))/$A$2,"")</f>
        <v>130.84598521651799</v>
      </c>
      <c r="I10" s="642">
        <f t="array" aca="1" ref="I10:I19" ca="1">IFERROR(INDEX(DATA!$T:$T,MATCH(I$9&amp;".ECONOMIC IMPACT."&amp;$E10:$E19,REP.lookup,0))*INDEX(REP.indexationfactors,MATCH(I$9,REP.yearsrange,0))/$A$2,"")</f>
        <v>134.3554340125736</v>
      </c>
      <c r="J10" s="642">
        <f t="array" aca="1" ref="J10:J19" ca="1">IFERROR(INDEX(DATA!$T:$T,MATCH(J$9&amp;".ECONOMIC IMPACT."&amp;$E10:$E19,REP.lookup,0))*INDEX(REP.indexationfactors,MATCH(J$9,REP.yearsrange,0))/$A$2,"")</f>
        <v>136.8407398787202</v>
      </c>
      <c r="K10" s="642">
        <f t="array" aca="1" ref="K10:K19" ca="1">IFERROR(INDEX(DATA!$T:$T,MATCH(K$9&amp;".ECONOMIC IMPACT."&amp;$E10:$E19,REP.lookup,0))*INDEX(REP.indexationfactors,MATCH(K$9,REP.yearsrange,0))/$A$2,"")</f>
        <v>140.54465895609968</v>
      </c>
      <c r="L10" s="642">
        <f t="array" aca="1" ref="L10:L19" ca="1">IFERROR(INDEX(DATA!$T:$T,MATCH(L$9&amp;".ECONOMIC IMPACT."&amp;$E10:$E19,REP.lookup,0))*INDEX(REP.indexationfactors,MATCH(L$9,REP.yearsrange,0))/$A$2,"")</f>
        <v>140.17181688078722</v>
      </c>
      <c r="M10" s="642">
        <f t="array" aca="1" ref="M10:M19" ca="1">IFERROR(INDEX(DATA!$T:$T,MATCH(M$9&amp;".ECONOMIC IMPACT."&amp;$E10:$E19,REP.lookup,0))*INDEX(REP.indexationfactors,MATCH(M$9,REP.yearsrange,0))/$A$2,"")</f>
        <v>148.05828662236817</v>
      </c>
      <c r="N10" s="642">
        <f t="array" aca="1" ref="N10:N19" ca="1">IFERROR(INDEX(DATA!$T:$T,MATCH(N$9&amp;".ECONOMIC IMPACT."&amp;$E10:$E19,REP.lookup,0))*INDEX(REP.indexationfactors,MATCH(N$9,REP.yearsrange,0))/$A$2,"")</f>
        <v>158.31749623570812</v>
      </c>
      <c r="O10" s="642">
        <f t="array" aca="1" ref="O10:O19" ca="1">IFERROR(INDEX(DATA!$T:$T,MATCH(O$9&amp;".ECONOMIC IMPACT."&amp;$E10:$E19,REP.lookup,0))*INDEX(REP.indexationfactors,MATCH(O$9,REP.yearsrange,0))/$A$2,"")</f>
        <v>168.08445340603848</v>
      </c>
      <c r="P10" s="642">
        <f t="array" aca="1" ref="P10:P19" ca="1">IFERROR(INDEX(DATA!$T:$T,MATCH(P$9&amp;".ECONOMIC IMPACT."&amp;$E10:$E19,REP.lookup,0))*INDEX(REP.indexationfactors,MATCH(P$9,REP.yearsrange,0))/$A$2,"")</f>
        <v>79.184233748285777</v>
      </c>
      <c r="Q10" s="642">
        <f t="array" aca="1" ref="Q10:Q19" ca="1">IFERROR(INDEX(DATA!$T:$T,MATCH(Q$9&amp;".ECONOMIC IMPACT."&amp;$E10:$E19,REP.lookup,0))*INDEX(REP.indexationfactors,MATCH(Q$9,REP.yearsrange,0))/$A$2,"")</f>
        <v>149.18104140440232</v>
      </c>
      <c r="R10" s="642">
        <f t="array" aca="1" ref="R10:R19" ca="1">IFERROR(INDEX(DATA!$T:$T,MATCH(R$9&amp;".ECONOMIC IMPACT."&amp;$E10:$E19,REP.lookup,0))*INDEX(REP.indexationfactors,MATCH(R$9,REP.yearsrange,0))/$A$2,"")</f>
        <v>170.87674575580743</v>
      </c>
      <c r="S10" s="360">
        <f ca="1">INDEX($G10:$R10,0,MATCH($S$9,$G$9:$R$9,0))</f>
        <v>170.87674575580743</v>
      </c>
      <c r="T10" s="216">
        <f t="shared" ref="T10:T19" ca="1" si="0">S10/$S$19</f>
        <v>0.15566024942038276</v>
      </c>
      <c r="U10" s="217" t="str">
        <f ca="1">E10&amp;" ("&amp;TEXT(T10,"0.0%")&amp;")"</f>
        <v>Accommodation (15.6%)</v>
      </c>
      <c r="V10" s="215"/>
      <c r="W10" s="215"/>
      <c r="X10" s="215"/>
      <c r="Y10" s="218"/>
    </row>
    <row r="11" spans="1:25" ht="16.2" customHeight="1" thickTop="1" thickBot="1" x14ac:dyDescent="0.35">
      <c r="E11" s="219" t="s">
        <v>49</v>
      </c>
      <c r="F11" s="194" t="str">
        <f ca="1">$F$10</f>
        <v>£M</v>
      </c>
      <c r="G11" s="642">
        <f ca="1"/>
        <v>124.94737973129797</v>
      </c>
      <c r="H11" s="642">
        <f ca="1"/>
        <v>134.62183605936988</v>
      </c>
      <c r="I11" s="642">
        <f ca="1"/>
        <v>140.45654071463645</v>
      </c>
      <c r="J11" s="642">
        <f ca="1"/>
        <v>141.80459768013176</v>
      </c>
      <c r="K11" s="642">
        <f ca="1"/>
        <v>148.14302300395045</v>
      </c>
      <c r="L11" s="642">
        <f ca="1"/>
        <v>146.02111356330431</v>
      </c>
      <c r="M11" s="642">
        <f ca="1"/>
        <v>150.24726405268785</v>
      </c>
      <c r="N11" s="642">
        <f ca="1"/>
        <v>153.12946761994431</v>
      </c>
      <c r="O11" s="642">
        <f ca="1"/>
        <v>157.70619916680192</v>
      </c>
      <c r="P11" s="642">
        <f ca="1"/>
        <v>57.065777674495152</v>
      </c>
      <c r="Q11" s="642">
        <f ca="1"/>
        <v>117.18753944738884</v>
      </c>
      <c r="R11" s="642">
        <f ca="1"/>
        <v>155.59257475121683</v>
      </c>
      <c r="S11" s="360">
        <f t="shared" ref="S11:S19" ca="1" si="1">INDEX($G11:$R11,0,MATCH($S$9,$G$9:$R$9,0))</f>
        <v>155.59257475121683</v>
      </c>
      <c r="T11" s="216">
        <f t="shared" ca="1" si="0"/>
        <v>0.1417371268782536</v>
      </c>
      <c r="U11" s="217" t="str">
        <f t="shared" ref="U11:U19" ca="1" si="2">E11&amp;" ("&amp;TEXT(T11,"0.0%")&amp;")"</f>
        <v>Food &amp; Drink (14.2%)</v>
      </c>
      <c r="V11" s="215"/>
      <c r="W11" s="215"/>
      <c r="X11" s="215"/>
    </row>
    <row r="12" spans="1:25" ht="16.2" customHeight="1" thickTop="1" thickBot="1" x14ac:dyDescent="0.35">
      <c r="E12" s="220" t="s">
        <v>50</v>
      </c>
      <c r="F12" s="194" t="str">
        <f t="shared" ref="F12:F19" ca="1" si="3">$F$10</f>
        <v>£M</v>
      </c>
      <c r="G12" s="642">
        <f ca="1"/>
        <v>39.234173418355034</v>
      </c>
      <c r="H12" s="642">
        <f ca="1"/>
        <v>41.599215386133778</v>
      </c>
      <c r="I12" s="642">
        <f ca="1"/>
        <v>43.681860641643347</v>
      </c>
      <c r="J12" s="642">
        <f ca="1"/>
        <v>43.50351849988057</v>
      </c>
      <c r="K12" s="642">
        <f ca="1"/>
        <v>46.56241972162357</v>
      </c>
      <c r="L12" s="642">
        <f ca="1"/>
        <v>45.674190878457068</v>
      </c>
      <c r="M12" s="642">
        <f ca="1"/>
        <v>47.614901620951379</v>
      </c>
      <c r="N12" s="642">
        <f ca="1"/>
        <v>48.459462858888756</v>
      </c>
      <c r="O12" s="642">
        <f ca="1"/>
        <v>49.910347094421383</v>
      </c>
      <c r="P12" s="642">
        <f ca="1"/>
        <v>17.782956958310407</v>
      </c>
      <c r="Q12" s="642">
        <f ca="1"/>
        <v>39.896846919154562</v>
      </c>
      <c r="R12" s="642">
        <f ca="1"/>
        <v>49.230916153714439</v>
      </c>
      <c r="S12" s="360">
        <f t="shared" ca="1" si="1"/>
        <v>49.230916153714439</v>
      </c>
      <c r="T12" s="216">
        <f t="shared" ca="1" si="0"/>
        <v>4.484692550636718E-2</v>
      </c>
      <c r="U12" s="217" t="str">
        <f t="shared" ca="1" si="2"/>
        <v>Recreation (4.5%)</v>
      </c>
      <c r="V12" s="215"/>
      <c r="W12" s="215"/>
      <c r="X12" s="215"/>
    </row>
    <row r="13" spans="1:25" ht="16.2" customHeight="1" thickTop="1" thickBot="1" x14ac:dyDescent="0.35">
      <c r="E13" s="221" t="s">
        <v>51</v>
      </c>
      <c r="F13" s="194" t="str">
        <f t="shared" ca="1" si="3"/>
        <v>£M</v>
      </c>
      <c r="G13" s="642">
        <f ca="1"/>
        <v>195.80770523765989</v>
      </c>
      <c r="H13" s="642">
        <f ca="1"/>
        <v>206.04256413339482</v>
      </c>
      <c r="I13" s="642">
        <f ca="1"/>
        <v>216.03356761814445</v>
      </c>
      <c r="J13" s="642">
        <f ca="1"/>
        <v>222.14162593934128</v>
      </c>
      <c r="K13" s="642">
        <f ca="1"/>
        <v>233.92215610616574</v>
      </c>
      <c r="L13" s="642">
        <f ca="1"/>
        <v>231.58323373213366</v>
      </c>
      <c r="M13" s="642">
        <f ca="1"/>
        <v>236.01059599125966</v>
      </c>
      <c r="N13" s="642">
        <f ca="1"/>
        <v>239.1019489531204</v>
      </c>
      <c r="O13" s="642">
        <f ca="1"/>
        <v>246.66955550296299</v>
      </c>
      <c r="P13" s="642">
        <f ca="1"/>
        <v>85.368756363520205</v>
      </c>
      <c r="Q13" s="642">
        <f ca="1"/>
        <v>167.60347847631428</v>
      </c>
      <c r="R13" s="642">
        <f ca="1"/>
        <v>238.74563547672167</v>
      </c>
      <c r="S13" s="360">
        <f t="shared" ca="1" si="1"/>
        <v>238.74563547672167</v>
      </c>
      <c r="T13" s="216">
        <f t="shared" ca="1" si="0"/>
        <v>0.21748544544172563</v>
      </c>
      <c r="U13" s="217" t="str">
        <f t="shared" ca="1" si="2"/>
        <v>Shopping (21.7%)</v>
      </c>
      <c r="V13" s="215"/>
      <c r="W13" s="215"/>
      <c r="X13" s="215"/>
    </row>
    <row r="14" spans="1:25" ht="16.2" customHeight="1" thickTop="1" thickBot="1" x14ac:dyDescent="0.35">
      <c r="E14" s="222" t="s">
        <v>52</v>
      </c>
      <c r="F14" s="194" t="str">
        <f t="shared" ca="1" si="3"/>
        <v>£M</v>
      </c>
      <c r="G14" s="642">
        <f ca="1"/>
        <v>59.663932085393746</v>
      </c>
      <c r="H14" s="642">
        <f ca="1"/>
        <v>63.426227429279209</v>
      </c>
      <c r="I14" s="642">
        <f ca="1"/>
        <v>66.403327266754161</v>
      </c>
      <c r="J14" s="642">
        <f ca="1"/>
        <v>67.144358331205154</v>
      </c>
      <c r="K14" s="642">
        <f ca="1"/>
        <v>70.878518418685175</v>
      </c>
      <c r="L14" s="642">
        <f ca="1"/>
        <v>69.642301898848444</v>
      </c>
      <c r="M14" s="642">
        <f ca="1"/>
        <v>71.534839751836529</v>
      </c>
      <c r="N14" s="642">
        <f ca="1"/>
        <v>72.623857837433462</v>
      </c>
      <c r="O14" s="642">
        <f ca="1"/>
        <v>74.777389760459187</v>
      </c>
      <c r="P14" s="642">
        <f ca="1"/>
        <v>25.334731470099033</v>
      </c>
      <c r="Q14" s="642">
        <f ca="1"/>
        <v>51.86865209295636</v>
      </c>
      <c r="R14" s="642">
        <f ca="1"/>
        <v>73.100463643696401</v>
      </c>
      <c r="S14" s="360">
        <f t="shared" ca="1" si="1"/>
        <v>73.100463643696401</v>
      </c>
      <c r="T14" s="216">
        <f t="shared" ca="1" si="0"/>
        <v>6.6590900670500872E-2</v>
      </c>
      <c r="U14" s="217" t="str">
        <f t="shared" ca="1" si="2"/>
        <v>Transport (6.7%)</v>
      </c>
      <c r="V14" s="215"/>
      <c r="W14" s="215"/>
      <c r="X14" s="215"/>
    </row>
    <row r="15" spans="1:25" ht="16.2" customHeight="1" thickTop="1" thickBot="1" x14ac:dyDescent="0.35">
      <c r="E15" s="223" t="s">
        <v>46</v>
      </c>
      <c r="F15" s="194" t="str">
        <f t="shared" ca="1" si="3"/>
        <v>£M</v>
      </c>
      <c r="G15" s="643">
        <f ca="1"/>
        <v>544.71507666496393</v>
      </c>
      <c r="H15" s="643">
        <f ca="1"/>
        <v>576.53582822469571</v>
      </c>
      <c r="I15" s="643">
        <f ca="1"/>
        <v>600.93073025375202</v>
      </c>
      <c r="J15" s="643">
        <f ca="1"/>
        <v>611.43484032927893</v>
      </c>
      <c r="K15" s="643">
        <f ca="1"/>
        <v>640.05077620652469</v>
      </c>
      <c r="L15" s="643">
        <f ca="1"/>
        <v>633.09265695353065</v>
      </c>
      <c r="M15" s="643">
        <f ca="1"/>
        <v>653.46588803910356</v>
      </c>
      <c r="N15" s="643">
        <f ca="1"/>
        <v>671.63223350509497</v>
      </c>
      <c r="O15" s="643">
        <f ca="1"/>
        <v>697.14794493068416</v>
      </c>
      <c r="P15" s="643">
        <f ca="1"/>
        <v>264.73645621471059</v>
      </c>
      <c r="Q15" s="643">
        <f ca="1"/>
        <v>525.73755834021642</v>
      </c>
      <c r="R15" s="643">
        <f ca="1"/>
        <v>687.54633578115681</v>
      </c>
      <c r="S15" s="360">
        <f t="shared" ca="1" si="1"/>
        <v>687.54633578115681</v>
      </c>
      <c r="T15" s="216">
        <f t="shared" ca="1" si="0"/>
        <v>0.62632064791723008</v>
      </c>
      <c r="U15" s="217" t="str">
        <f t="shared" ca="1" si="2"/>
        <v>Direct Revenue (62.6%)</v>
      </c>
      <c r="V15" s="215"/>
      <c r="W15" s="215"/>
      <c r="X15" s="215"/>
    </row>
    <row r="16" spans="1:25" ht="16.2" customHeight="1" thickTop="1" thickBot="1" x14ac:dyDescent="0.35">
      <c r="E16" s="359" t="s">
        <v>47</v>
      </c>
      <c r="F16" s="194" t="str">
        <f t="shared" ca="1" si="3"/>
        <v>£M</v>
      </c>
      <c r="G16" s="642">
        <f ca="1"/>
        <v>108.9430153329928</v>
      </c>
      <c r="H16" s="642">
        <f ca="1"/>
        <v>115.30716564493915</v>
      </c>
      <c r="I16" s="642">
        <f ca="1"/>
        <v>120.18614605075041</v>
      </c>
      <c r="J16" s="642">
        <f ca="1"/>
        <v>122.2869680658558</v>
      </c>
      <c r="K16" s="642">
        <f ca="1"/>
        <v>128.01015524130494</v>
      </c>
      <c r="L16" s="642">
        <f ca="1"/>
        <v>126.61853139070614</v>
      </c>
      <c r="M16" s="642">
        <f ca="1"/>
        <v>130.69317760782073</v>
      </c>
      <c r="N16" s="642">
        <f ca="1"/>
        <v>134.32644670101902</v>
      </c>
      <c r="O16" s="642">
        <f ca="1"/>
        <v>139.42958898613676</v>
      </c>
      <c r="P16" s="642">
        <f ca="1"/>
        <v>39.296045523998103</v>
      </c>
      <c r="Q16" s="642">
        <f ca="1"/>
        <v>69.154802713100935</v>
      </c>
      <c r="R16" s="642">
        <f ca="1"/>
        <v>134.37970405759995</v>
      </c>
      <c r="S16" s="360">
        <f t="shared" ca="1" si="1"/>
        <v>134.37970405759995</v>
      </c>
      <c r="T16" s="216">
        <f t="shared" ca="1" si="0"/>
        <v>0.12241325265250332</v>
      </c>
      <c r="U16" s="217" t="str">
        <f t="shared" ca="1" si="2"/>
        <v>VAT (12.2%)</v>
      </c>
      <c r="V16" s="215"/>
      <c r="W16" s="215"/>
      <c r="X16" s="215"/>
    </row>
    <row r="17" spans="4:24" ht="16.2" customHeight="1" thickTop="1" thickBot="1" x14ac:dyDescent="0.35">
      <c r="E17" s="224" t="s">
        <v>44</v>
      </c>
      <c r="F17" s="194" t="str">
        <f t="shared" ca="1" si="3"/>
        <v>£M</v>
      </c>
      <c r="G17" s="644">
        <f ca="1"/>
        <v>653.65809199795649</v>
      </c>
      <c r="H17" s="644">
        <f ca="1"/>
        <v>691.84299386963482</v>
      </c>
      <c r="I17" s="644">
        <f ca="1"/>
        <v>721.11687630450251</v>
      </c>
      <c r="J17" s="644">
        <f ca="1"/>
        <v>733.72180839513476</v>
      </c>
      <c r="K17" s="644">
        <f ca="1"/>
        <v>768.06093144782949</v>
      </c>
      <c r="L17" s="644">
        <f ca="1"/>
        <v>759.71118834423669</v>
      </c>
      <c r="M17" s="644">
        <f ca="1"/>
        <v>784.15906564692432</v>
      </c>
      <c r="N17" s="644">
        <f ca="1"/>
        <v>805.95868020611408</v>
      </c>
      <c r="O17" s="644">
        <f ca="1"/>
        <v>836.5775339168207</v>
      </c>
      <c r="P17" s="644">
        <f ca="1"/>
        <v>304.03250173870867</v>
      </c>
      <c r="Q17" s="644">
        <f ca="1"/>
        <v>594.89236105331725</v>
      </c>
      <c r="R17" s="644">
        <f ca="1"/>
        <v>821.92603983875665</v>
      </c>
      <c r="S17" s="360">
        <f t="shared" ca="1" si="1"/>
        <v>821.92603983875665</v>
      </c>
      <c r="T17" s="216">
        <f t="shared" ca="1" si="0"/>
        <v>0.74873390056973332</v>
      </c>
      <c r="U17" s="217" t="str">
        <f t="shared" ca="1" si="2"/>
        <v>Direct Expenditure (74.9%)</v>
      </c>
      <c r="V17" s="215"/>
      <c r="W17" s="215"/>
      <c r="X17" s="215"/>
    </row>
    <row r="18" spans="4:24" ht="16.2" customHeight="1" thickTop="1" thickBot="1" x14ac:dyDescent="0.35">
      <c r="E18" s="225" t="s">
        <v>45</v>
      </c>
      <c r="F18" s="194" t="str">
        <f t="shared" ca="1" si="3"/>
        <v>£M</v>
      </c>
      <c r="G18" s="645">
        <f ca="1"/>
        <v>210.9438545884411</v>
      </c>
      <c r="H18" s="645">
        <f ca="1"/>
        <v>226.4160819809189</v>
      </c>
      <c r="I18" s="645">
        <f ca="1"/>
        <v>235.68724114213825</v>
      </c>
      <c r="J18" s="645">
        <f ca="1"/>
        <v>240.44308405408225</v>
      </c>
      <c r="K18" s="645">
        <f ca="1"/>
        <v>251.68189116614195</v>
      </c>
      <c r="L18" s="645">
        <f ca="1"/>
        <v>250.6862716252389</v>
      </c>
      <c r="M18" s="645">
        <f ca="1"/>
        <v>260.55551260513641</v>
      </c>
      <c r="N18" s="645">
        <f ca="1"/>
        <v>269.52997059944971</v>
      </c>
      <c r="O18" s="645">
        <f ca="1"/>
        <v>281.75294782514823</v>
      </c>
      <c r="P18" s="645">
        <f ca="1"/>
        <v>103.48694459073083</v>
      </c>
      <c r="Q18" s="645">
        <f ca="1"/>
        <v>202.62140221031711</v>
      </c>
      <c r="R18" s="645">
        <f ca="1"/>
        <v>275.82850181259533</v>
      </c>
      <c r="S18" s="360">
        <f t="shared" ca="1" si="1"/>
        <v>275.82850181259533</v>
      </c>
      <c r="T18" s="216">
        <f t="shared" ca="1" si="0"/>
        <v>0.25126609943026657</v>
      </c>
      <c r="U18" s="217" t="str">
        <f t="shared" ca="1" si="2"/>
        <v>Indirect Expenditure (25.1%)</v>
      </c>
      <c r="V18" s="215"/>
      <c r="W18" s="215"/>
      <c r="X18" s="215"/>
    </row>
    <row r="19" spans="4:24" ht="16.2" customHeight="1" thickTop="1" thickBot="1" x14ac:dyDescent="0.35">
      <c r="E19" s="226" t="s">
        <v>38</v>
      </c>
      <c r="F19" s="194" t="str">
        <f t="shared" ca="1" si="3"/>
        <v>£M</v>
      </c>
      <c r="G19" s="646">
        <f ca="1"/>
        <v>864.60194658639773</v>
      </c>
      <c r="H19" s="646">
        <f ca="1"/>
        <v>918.25907585055359</v>
      </c>
      <c r="I19" s="646">
        <f ca="1"/>
        <v>956.80411744664059</v>
      </c>
      <c r="J19" s="646">
        <f ca="1"/>
        <v>974.16489244921706</v>
      </c>
      <c r="K19" s="646">
        <f ca="1"/>
        <v>1019.7428226139715</v>
      </c>
      <c r="L19" s="646">
        <f ca="1"/>
        <v>1010.397459969476</v>
      </c>
      <c r="M19" s="646">
        <f ca="1"/>
        <v>1044.7145782520606</v>
      </c>
      <c r="N19" s="646">
        <f ca="1"/>
        <v>1075.4886508055638</v>
      </c>
      <c r="O19" s="646">
        <f ca="1"/>
        <v>1118.3304817419687</v>
      </c>
      <c r="P19" s="646">
        <f ca="1"/>
        <v>407.51944632943946</v>
      </c>
      <c r="Q19" s="646">
        <f ca="1"/>
        <v>797.51376326363459</v>
      </c>
      <c r="R19" s="646">
        <f ca="1"/>
        <v>1097.7545416513522</v>
      </c>
      <c r="S19" s="360">
        <f t="shared" ca="1" si="1"/>
        <v>1097.7545416513522</v>
      </c>
      <c r="T19" s="216">
        <f t="shared" ca="1" si="0"/>
        <v>1</v>
      </c>
      <c r="U19" s="217" t="str">
        <f t="shared" ca="1" si="2"/>
        <v>TOTAL (100.0%)</v>
      </c>
      <c r="V19" s="227"/>
      <c r="W19" s="227"/>
      <c r="X19" s="227"/>
    </row>
    <row r="20" spans="4:24" ht="16.2" customHeight="1" thickTop="1" thickBot="1" x14ac:dyDescent="0.35">
      <c r="E20" s="228"/>
      <c r="F20" s="229"/>
      <c r="G20" s="647"/>
      <c r="H20" s="647"/>
      <c r="I20" s="647"/>
      <c r="J20" s="647"/>
      <c r="K20" s="647"/>
      <c r="L20" s="647"/>
      <c r="M20" s="647"/>
      <c r="N20" s="647"/>
      <c r="O20" s="647"/>
      <c r="P20" s="647"/>
      <c r="Q20" s="647"/>
      <c r="R20" s="647"/>
      <c r="S20" s="360"/>
      <c r="T20" s="230"/>
      <c r="U20" s="227"/>
      <c r="V20" s="227"/>
      <c r="W20" s="227"/>
      <c r="X20" s="227"/>
    </row>
    <row r="21" spans="4:24" ht="16.2" customHeight="1" thickTop="1" thickBot="1" x14ac:dyDescent="0.35">
      <c r="D21" s="196"/>
      <c r="E21" s="228"/>
      <c r="F21" s="229"/>
      <c r="G21" s="648"/>
      <c r="H21" s="648"/>
      <c r="I21" s="648"/>
      <c r="J21" s="648"/>
      <c r="K21" s="648"/>
      <c r="L21" s="648"/>
      <c r="M21" s="648"/>
      <c r="N21" s="648"/>
      <c r="O21" s="648"/>
      <c r="P21" s="648"/>
      <c r="Q21" s="648"/>
      <c r="R21" s="648"/>
      <c r="S21" s="360"/>
      <c r="T21" s="231"/>
      <c r="U21" s="231"/>
      <c r="V21" s="231"/>
      <c r="W21" s="231"/>
      <c r="X21" s="231"/>
    </row>
    <row r="22" spans="4:24" ht="16.2" customHeight="1" thickTop="1" thickBot="1" x14ac:dyDescent="0.35">
      <c r="D22" s="196"/>
      <c r="E22" s="228"/>
      <c r="F22" s="229"/>
      <c r="G22" s="648"/>
      <c r="H22" s="648"/>
      <c r="I22" s="648"/>
      <c r="J22" s="648"/>
      <c r="K22" s="648"/>
      <c r="L22" s="648"/>
      <c r="M22" s="648"/>
      <c r="N22" s="648"/>
      <c r="O22" s="648"/>
      <c r="P22" s="648"/>
      <c r="Q22" s="648"/>
      <c r="R22" s="648"/>
      <c r="S22" s="676"/>
      <c r="T22" s="677"/>
      <c r="U22" s="677"/>
      <c r="V22" s="677"/>
      <c r="W22" s="677"/>
      <c r="X22" s="678"/>
    </row>
    <row r="23" spans="4:24" ht="16.2" customHeight="1" thickTop="1" thickBot="1" x14ac:dyDescent="0.35">
      <c r="E23" s="1144" t="str">
        <f>UPPER('COMPARATIVE HEADLINES'!P25)</f>
        <v>SECTORAL DISTRIBUTION OF EMPLOYMENT - FTES</v>
      </c>
      <c r="F23" s="1145"/>
      <c r="G23" s="1145"/>
      <c r="H23" s="1145"/>
      <c r="I23" s="1145"/>
      <c r="J23" s="1145"/>
      <c r="K23" s="1145"/>
      <c r="L23" s="1145"/>
      <c r="M23" s="1145"/>
      <c r="N23" s="1145"/>
      <c r="O23" s="1145"/>
      <c r="P23" s="1145"/>
      <c r="Q23" s="1145"/>
      <c r="R23" s="1146"/>
      <c r="S23" s="1141"/>
      <c r="T23" s="1142"/>
      <c r="U23" s="1142"/>
      <c r="V23" s="1142"/>
      <c r="W23" s="1142"/>
      <c r="X23" s="1143"/>
    </row>
    <row r="24" spans="4:24" ht="16.2" customHeight="1" thickTop="1" thickBot="1" x14ac:dyDescent="0.35">
      <c r="E24" s="1136" t="s">
        <v>142</v>
      </c>
      <c r="F24" s="1137"/>
      <c r="G24" s="210">
        <f t="array" ref="G24:R24">TRANSPOSE(REP.yearsrange)</f>
        <v>2011</v>
      </c>
      <c r="H24" s="210">
        <v>2012</v>
      </c>
      <c r="I24" s="210">
        <v>2013</v>
      </c>
      <c r="J24" s="210">
        <v>2014</v>
      </c>
      <c r="K24" s="210">
        <v>2015</v>
      </c>
      <c r="L24" s="210">
        <v>2016</v>
      </c>
      <c r="M24" s="210">
        <v>2017</v>
      </c>
      <c r="N24" s="210">
        <v>2018</v>
      </c>
      <c r="O24" s="210">
        <v>2019</v>
      </c>
      <c r="P24" s="210">
        <v>2020</v>
      </c>
      <c r="Q24" s="210">
        <v>2021</v>
      </c>
      <c r="R24" s="210">
        <v>2022</v>
      </c>
      <c r="S24" s="232">
        <f>CHARTYEAR</f>
        <v>2022</v>
      </c>
      <c r="T24" s="231"/>
      <c r="U24" s="231"/>
      <c r="V24" s="231"/>
      <c r="W24" s="231"/>
      <c r="X24" s="231"/>
    </row>
    <row r="25" spans="4:24" ht="16.2" customHeight="1" thickTop="1" thickBot="1" x14ac:dyDescent="0.35">
      <c r="E25" s="214" t="s">
        <v>23</v>
      </c>
      <c r="F25" s="194" t="s">
        <v>59</v>
      </c>
      <c r="G25" s="649">
        <f t="array" ref="G25:G32">IFERROR(INDEX(DATA!$T:$T,MATCH(G$9&amp;".Employment."&amp;$E25:$E32,REP.lookup,0)),"")</f>
        <v>2960.8458333333328</v>
      </c>
      <c r="H25" s="649">
        <f t="array" ref="H25:H32">IFERROR(INDEX(DATA!$T:$T,MATCH(H$9&amp;".Employment."&amp;$E25:$E32,REP.lookup,0)),"")</f>
        <v>3191.2266892267667</v>
      </c>
      <c r="I25" s="649">
        <f t="array" ref="I25:I32">IFERROR(INDEX(DATA!$T:$T,MATCH(I$9&amp;".Employment."&amp;$E25:$E32,REP.lookup,0)),"")</f>
        <v>3237.3122432618911</v>
      </c>
      <c r="J25" s="649">
        <f t="array" ref="J25:J32">IFERROR(INDEX(DATA!$T:$T,MATCH(J$9&amp;".Employment."&amp;$E25:$E32,REP.lookup,0)),"")</f>
        <v>3247.2587708802093</v>
      </c>
      <c r="K25" s="649">
        <f t="array" ref="K25:K32">IFERROR(INDEX(DATA!$T:$T,MATCH(K$9&amp;".Employment."&amp;$E25:$E32,REP.lookup,0)),"")</f>
        <v>3255.1281341970421</v>
      </c>
      <c r="L25" s="649">
        <f t="array" ref="L25:L32">IFERROR(INDEX(DATA!$T:$T,MATCH(L$9&amp;".Employment."&amp;$E25:$E32,REP.lookup,0)),"")</f>
        <v>3191.9568380712153</v>
      </c>
      <c r="M25" s="649">
        <f t="array" ref="M25:M32">IFERROR(INDEX(DATA!$T:$T,MATCH(M$9&amp;".Employment."&amp;$E25:$E32,REP.lookup,0)),"")</f>
        <v>3168.9919243892778</v>
      </c>
      <c r="N25" s="649">
        <f t="array" ref="N25:N32">IFERROR(INDEX(DATA!$T:$T,MATCH(N$9&amp;".Employment."&amp;$E25:$E32,REP.lookup,0)),"")</f>
        <v>3169.4206008897186</v>
      </c>
      <c r="O25" s="649">
        <f t="array" ref="O25:O32">IFERROR(INDEX(DATA!$T:$T,MATCH(O$9&amp;".Employment."&amp;$E25:$E32,REP.lookup,0)),"")</f>
        <v>3148.9274006762557</v>
      </c>
      <c r="P25" s="649">
        <f t="array" ref="P25:P32">IFERROR(INDEX(DATA!$T:$T,MATCH(P$9&amp;".Employment."&amp;$E25:$E32,REP.lookup,0)),"")</f>
        <v>1542.830230709603</v>
      </c>
      <c r="Q25" s="649">
        <f t="array" ref="Q25:Q32">IFERROR(INDEX(DATA!$T:$T,MATCH(Q$9&amp;".Employment."&amp;$E25:$E32,REP.lookup,0)),"")</f>
        <v>2217.4685799002837</v>
      </c>
      <c r="R25" s="649">
        <f t="array" ref="R25:R32">IFERROR(INDEX(DATA!$T:$T,MATCH(R$9&amp;".Employment."&amp;$E25:$E32,REP.lookup,0)),"")</f>
        <v>3123.9368999560652</v>
      </c>
      <c r="S25" s="233">
        <f>INDEX($G25:$R25,0,MATCH($S$9,$G$9:$R$9,0))</f>
        <v>3123.9368999560652</v>
      </c>
      <c r="T25" s="234">
        <f t="shared" ref="T25:T32" si="4">S25/$S$32</f>
        <v>0.2631490938008742</v>
      </c>
      <c r="U25" s="217" t="str">
        <f>E25&amp;" ("&amp;TEXT(T25,"0.0%")&amp;")"</f>
        <v>Accommodation (26.3%)</v>
      </c>
      <c r="V25" s="231"/>
      <c r="W25" s="231"/>
      <c r="X25" s="231"/>
    </row>
    <row r="26" spans="4:24" ht="16.2" customHeight="1" thickTop="1" thickBot="1" x14ac:dyDescent="0.35">
      <c r="E26" s="219" t="s">
        <v>49</v>
      </c>
      <c r="F26" s="194" t="s">
        <v>59</v>
      </c>
      <c r="G26" s="649">
        <v>1925.2541778069462</v>
      </c>
      <c r="H26" s="649">
        <v>2074.2487029028598</v>
      </c>
      <c r="I26" s="649">
        <v>2164.1454053769053</v>
      </c>
      <c r="J26" s="649">
        <v>2373.080322579915</v>
      </c>
      <c r="K26" s="649">
        <v>2590.7724613293799</v>
      </c>
      <c r="L26" s="649">
        <v>2555.4923204696602</v>
      </c>
      <c r="M26" s="649">
        <v>2475.2969855098713</v>
      </c>
      <c r="N26" s="649">
        <v>2551.4097969564118</v>
      </c>
      <c r="O26" s="649">
        <v>2570.6887276279249</v>
      </c>
      <c r="P26" s="649">
        <v>1203.2085197534473</v>
      </c>
      <c r="Q26" s="649">
        <v>1947.2767174546696</v>
      </c>
      <c r="R26" s="649">
        <v>2444.5791659002152</v>
      </c>
      <c r="S26" s="233">
        <f t="shared" ref="S26:S35" si="5">INDEX($G26:$R26,0,MATCH($S$9,$G$9:$R$9,0))</f>
        <v>2444.5791659002152</v>
      </c>
      <c r="T26" s="234">
        <f t="shared" si="4"/>
        <v>0.20592246669264855</v>
      </c>
      <c r="U26" s="217" t="str">
        <f t="shared" ref="U26:U32" si="6">E26&amp;" ("&amp;TEXT(T26,"0.0%")&amp;")"</f>
        <v>Food &amp; Drink (20.6%)</v>
      </c>
      <c r="V26" s="231"/>
      <c r="W26" s="231"/>
      <c r="X26" s="231"/>
    </row>
    <row r="27" spans="4:24" ht="16.2" customHeight="1" thickTop="1" thickBot="1" x14ac:dyDescent="0.35">
      <c r="E27" s="220" t="s">
        <v>50</v>
      </c>
      <c r="F27" s="194" t="s">
        <v>59</v>
      </c>
      <c r="G27" s="649">
        <v>733.61707215532988</v>
      </c>
      <c r="H27" s="649">
        <v>777.81167483974548</v>
      </c>
      <c r="I27" s="649">
        <v>816.75085610783026</v>
      </c>
      <c r="J27" s="649">
        <v>643.95653090778387</v>
      </c>
      <c r="K27" s="649">
        <v>666.92591683441208</v>
      </c>
      <c r="L27" s="649">
        <v>703.87384428187249</v>
      </c>
      <c r="M27" s="649">
        <v>747.37090329087289</v>
      </c>
      <c r="N27" s="649">
        <v>695.6054619686048</v>
      </c>
      <c r="O27" s="649">
        <v>786.06924230476068</v>
      </c>
      <c r="P27" s="649">
        <v>384.49547859010818</v>
      </c>
      <c r="Q27" s="649">
        <v>580.75162644828924</v>
      </c>
      <c r="R27" s="649">
        <v>715.02702278836534</v>
      </c>
      <c r="S27" s="233">
        <f t="shared" si="5"/>
        <v>715.02702278836534</v>
      </c>
      <c r="T27" s="234">
        <f t="shared" si="4"/>
        <v>6.0231278388670921E-2</v>
      </c>
      <c r="U27" s="217" t="str">
        <f t="shared" si="6"/>
        <v>Recreation (6.0%)</v>
      </c>
      <c r="V27" s="231"/>
      <c r="W27" s="231"/>
      <c r="X27" s="231"/>
    </row>
    <row r="28" spans="4:24" ht="16.2" customHeight="1" thickTop="1" thickBot="1" x14ac:dyDescent="0.35">
      <c r="E28" s="221" t="s">
        <v>51</v>
      </c>
      <c r="F28" s="194" t="s">
        <v>59</v>
      </c>
      <c r="G28" s="649">
        <v>2750.5130620040904</v>
      </c>
      <c r="H28" s="649">
        <v>2894.1782544648599</v>
      </c>
      <c r="I28" s="649">
        <v>3034.5110208142091</v>
      </c>
      <c r="J28" s="649">
        <v>2609.7078259505033</v>
      </c>
      <c r="K28" s="649">
        <v>2896.6105169064999</v>
      </c>
      <c r="L28" s="649">
        <v>2825.7902661966273</v>
      </c>
      <c r="M28" s="649">
        <v>2884.0984829821668</v>
      </c>
      <c r="N28" s="649">
        <v>2832.3960168142544</v>
      </c>
      <c r="O28" s="649">
        <v>3091.5513053239406</v>
      </c>
      <c r="P28" s="649">
        <v>1110.202648750248</v>
      </c>
      <c r="Q28" s="649">
        <v>1924.3771860099953</v>
      </c>
      <c r="R28" s="649">
        <v>2820.3242301256728</v>
      </c>
      <c r="S28" s="233">
        <f t="shared" si="5"/>
        <v>2820.3242301256728</v>
      </c>
      <c r="T28" s="234">
        <f t="shared" si="4"/>
        <v>0.23757386565415481</v>
      </c>
      <c r="U28" s="217" t="str">
        <f t="shared" si="6"/>
        <v>Shopping (23.8%)</v>
      </c>
      <c r="V28" s="231"/>
      <c r="W28" s="231"/>
      <c r="X28" s="231"/>
    </row>
    <row r="29" spans="4:24" ht="16.2" customHeight="1" thickTop="1" thickBot="1" x14ac:dyDescent="0.35">
      <c r="D29" s="196"/>
      <c r="E29" s="222" t="s">
        <v>52</v>
      </c>
      <c r="F29" s="194" t="s">
        <v>59</v>
      </c>
      <c r="G29" s="649">
        <v>410.71551966138526</v>
      </c>
      <c r="H29" s="649">
        <v>436.59878103083128</v>
      </c>
      <c r="I29" s="649">
        <v>457.0909583105942</v>
      </c>
      <c r="J29" s="649">
        <v>379.69782857013803</v>
      </c>
      <c r="K29" s="649">
        <v>420.83530120517804</v>
      </c>
      <c r="L29" s="649">
        <v>415.81708521087791</v>
      </c>
      <c r="M29" s="649">
        <v>427.32839873441725</v>
      </c>
      <c r="N29" s="649">
        <v>419.50041791801317</v>
      </c>
      <c r="O29" s="649">
        <v>460.64779326409871</v>
      </c>
      <c r="P29" s="649">
        <v>161.22321777093768</v>
      </c>
      <c r="Q29" s="649">
        <v>292.68386359063646</v>
      </c>
      <c r="R29" s="649">
        <v>416.70632994450165</v>
      </c>
      <c r="S29" s="233">
        <f t="shared" si="5"/>
        <v>416.70632994450165</v>
      </c>
      <c r="T29" s="234">
        <f t="shared" si="4"/>
        <v>3.5101827155191868E-2</v>
      </c>
      <c r="U29" s="217" t="str">
        <f t="shared" si="6"/>
        <v>Transport (3.5%)</v>
      </c>
      <c r="V29" s="231"/>
      <c r="W29" s="231"/>
      <c r="X29" s="231"/>
    </row>
    <row r="30" spans="4:24" ht="16.2" customHeight="1" thickTop="1" thickBot="1" x14ac:dyDescent="0.35">
      <c r="D30" s="196"/>
      <c r="E30" s="224" t="s">
        <v>55</v>
      </c>
      <c r="F30" s="194" t="s">
        <v>59</v>
      </c>
      <c r="G30" s="650">
        <v>8780.9456649610856</v>
      </c>
      <c r="H30" s="650">
        <v>9374.0641024650631</v>
      </c>
      <c r="I30" s="650">
        <v>9709.8104838714298</v>
      </c>
      <c r="J30" s="650">
        <v>9253.7012788885495</v>
      </c>
      <c r="K30" s="650">
        <v>9830.2723304725132</v>
      </c>
      <c r="L30" s="650">
        <v>9692.9303542302532</v>
      </c>
      <c r="M30" s="650">
        <v>9703.0866949066058</v>
      </c>
      <c r="N30" s="650">
        <v>9668.3322945470045</v>
      </c>
      <c r="O30" s="650">
        <v>10057.884469196979</v>
      </c>
      <c r="P30" s="650">
        <v>4401.9600955743435</v>
      </c>
      <c r="Q30" s="650">
        <v>6962.5579734038756</v>
      </c>
      <c r="R30" s="650">
        <v>9520.5736487148206</v>
      </c>
      <c r="S30" s="233">
        <f t="shared" si="5"/>
        <v>9520.5736487148206</v>
      </c>
      <c r="T30" s="234">
        <f t="shared" si="4"/>
        <v>0.80197853169154043</v>
      </c>
      <c r="U30" s="217" t="str">
        <f t="shared" si="6"/>
        <v>Direct Employment (80.2%)</v>
      </c>
      <c r="V30" s="231"/>
      <c r="W30" s="231"/>
      <c r="X30" s="231"/>
    </row>
    <row r="31" spans="4:24" ht="16.2" customHeight="1" thickTop="1" thickBot="1" x14ac:dyDescent="0.35">
      <c r="D31" s="196"/>
      <c r="E31" s="225" t="s">
        <v>53</v>
      </c>
      <c r="F31" s="194" t="s">
        <v>59</v>
      </c>
      <c r="G31" s="651">
        <v>2099.9630830241881</v>
      </c>
      <c r="H31" s="651">
        <v>2253.9093722151101</v>
      </c>
      <c r="I31" s="651">
        <v>2346.1966076899971</v>
      </c>
      <c r="J31" s="651">
        <v>2058.9247390469923</v>
      </c>
      <c r="K31" s="651">
        <v>2230.1659634844532</v>
      </c>
      <c r="L31" s="651">
        <v>2249.52001580346</v>
      </c>
      <c r="M31" s="651">
        <v>2324.476784837912</v>
      </c>
      <c r="N31" s="651">
        <v>2320.2171243616745</v>
      </c>
      <c r="O31" s="651">
        <v>2559.3385353888634</v>
      </c>
      <c r="P31" s="651">
        <v>1090.5486698770926</v>
      </c>
      <c r="Q31" s="651">
        <v>1820.3351622307416</v>
      </c>
      <c r="R31" s="651">
        <v>2350.7835915269343</v>
      </c>
      <c r="S31" s="233">
        <f t="shared" si="5"/>
        <v>2350.7835915269343</v>
      </c>
      <c r="T31" s="234">
        <f t="shared" si="4"/>
        <v>0.19802146830845951</v>
      </c>
      <c r="U31" s="217" t="str">
        <f t="shared" si="6"/>
        <v>Indirect Employment (19.8%)</v>
      </c>
      <c r="V31" s="231"/>
      <c r="W31" s="231"/>
      <c r="X31" s="231"/>
    </row>
    <row r="32" spans="4:24" ht="16.2" customHeight="1" thickTop="1" thickBot="1" x14ac:dyDescent="0.35">
      <c r="D32" s="196"/>
      <c r="E32" s="226" t="s">
        <v>38</v>
      </c>
      <c r="F32" s="194" t="s">
        <v>59</v>
      </c>
      <c r="G32" s="652">
        <v>10880.908747985273</v>
      </c>
      <c r="H32" s="652">
        <v>11627.973474680175</v>
      </c>
      <c r="I32" s="652">
        <v>12056.007091561429</v>
      </c>
      <c r="J32" s="652">
        <v>11312.626017935543</v>
      </c>
      <c r="K32" s="652">
        <v>12060.438293956968</v>
      </c>
      <c r="L32" s="652">
        <v>11942.450370033714</v>
      </c>
      <c r="M32" s="652">
        <v>12027.563479744518</v>
      </c>
      <c r="N32" s="652">
        <v>11988.549418908675</v>
      </c>
      <c r="O32" s="652">
        <v>12617.223004585843</v>
      </c>
      <c r="P32" s="652">
        <v>5492.5087654514364</v>
      </c>
      <c r="Q32" s="652">
        <v>8782.8931356346147</v>
      </c>
      <c r="R32" s="652">
        <v>11871.357240241756</v>
      </c>
      <c r="S32" s="233">
        <f t="shared" si="5"/>
        <v>11871.357240241756</v>
      </c>
      <c r="T32" s="234">
        <f t="shared" si="4"/>
        <v>1</v>
      </c>
      <c r="U32" s="217" t="str">
        <f t="shared" si="6"/>
        <v>TOTAL (100.0%)</v>
      </c>
      <c r="V32" s="231"/>
      <c r="W32" s="231"/>
      <c r="X32" s="231"/>
    </row>
    <row r="33" spans="4:24" ht="16.2" customHeight="1" thickTop="1" thickBot="1" x14ac:dyDescent="0.35">
      <c r="D33" s="196"/>
      <c r="E33" s="235"/>
      <c r="F33" s="172"/>
      <c r="G33" s="653"/>
      <c r="H33" s="653"/>
      <c r="I33" s="653"/>
      <c r="J33" s="653"/>
      <c r="K33" s="653"/>
      <c r="L33" s="653"/>
      <c r="M33" s="653"/>
      <c r="N33" s="653"/>
      <c r="O33" s="653"/>
      <c r="P33" s="653"/>
      <c r="Q33" s="653"/>
      <c r="R33" s="653"/>
      <c r="S33" s="233">
        <f t="shared" si="5"/>
        <v>0</v>
      </c>
      <c r="T33" s="231"/>
      <c r="U33" s="231"/>
      <c r="V33" s="231"/>
      <c r="W33" s="231"/>
      <c r="X33" s="231"/>
    </row>
    <row r="34" spans="4:24" ht="16.2" customHeight="1" thickTop="1" thickBot="1" x14ac:dyDescent="0.35">
      <c r="D34" s="196"/>
      <c r="E34" s="235"/>
      <c r="F34" s="172"/>
      <c r="G34" s="653"/>
      <c r="H34" s="653"/>
      <c r="I34" s="653"/>
      <c r="J34" s="653"/>
      <c r="K34" s="653"/>
      <c r="L34" s="653"/>
      <c r="M34" s="653"/>
      <c r="N34" s="653"/>
      <c r="O34" s="653"/>
      <c r="P34" s="653"/>
      <c r="Q34" s="653"/>
      <c r="R34" s="653"/>
      <c r="S34" s="233"/>
      <c r="T34" s="231"/>
      <c r="U34" s="231"/>
      <c r="V34" s="231"/>
      <c r="W34" s="231"/>
      <c r="X34" s="231"/>
    </row>
    <row r="35" spans="4:24" ht="16.2" customHeight="1" thickTop="1" thickBot="1" x14ac:dyDescent="0.35">
      <c r="E35" s="235"/>
      <c r="F35" s="172"/>
      <c r="G35" s="653"/>
      <c r="H35" s="653"/>
      <c r="I35" s="653"/>
      <c r="J35" s="653"/>
      <c r="K35" s="653"/>
      <c r="L35" s="653"/>
      <c r="M35" s="653"/>
      <c r="N35" s="653"/>
      <c r="O35" s="653"/>
      <c r="P35" s="653"/>
      <c r="Q35" s="653"/>
      <c r="R35" s="653"/>
      <c r="S35" s="233">
        <f t="shared" si="5"/>
        <v>0</v>
      </c>
      <c r="T35" s="231"/>
      <c r="U35" s="231"/>
      <c r="V35" s="231"/>
      <c r="W35" s="231"/>
      <c r="X35" s="231"/>
    </row>
    <row r="36" spans="4:24" ht="16.2" customHeight="1" thickTop="1" thickBot="1" x14ac:dyDescent="0.35">
      <c r="E36" s="235"/>
      <c r="F36" s="172"/>
      <c r="G36" s="654"/>
      <c r="H36" s="654"/>
      <c r="I36" s="654"/>
      <c r="J36" s="654"/>
      <c r="K36" s="654"/>
      <c r="L36" s="654"/>
      <c r="M36" s="654"/>
      <c r="N36" s="654"/>
      <c r="O36" s="654"/>
      <c r="P36" s="654"/>
      <c r="Q36" s="654"/>
      <c r="R36" s="654"/>
      <c r="S36" s="236"/>
      <c r="T36" s="237"/>
      <c r="U36" s="237"/>
      <c r="V36" s="237"/>
      <c r="W36" s="237"/>
      <c r="X36" s="238"/>
    </row>
    <row r="37" spans="4:24" ht="16.2" customHeight="1" thickTop="1" thickBot="1" x14ac:dyDescent="0.35">
      <c r="E37" s="203" t="str">
        <f>IF(COUNT(REP.yearsrange)&lt;MAX(REP.yearnos),"Note: This report caters for a period of up to 12 years. Parts of this page are intentionally left blank to accommodate new data as it becomes available.","")</f>
        <v/>
      </c>
      <c r="F37" s="239"/>
      <c r="G37" s="239"/>
      <c r="H37" s="239"/>
      <c r="I37" s="239"/>
      <c r="J37" s="239"/>
      <c r="K37" s="239"/>
      <c r="L37" s="239"/>
      <c r="M37" s="239"/>
      <c r="N37" s="239"/>
      <c r="O37" s="239"/>
      <c r="P37" s="239"/>
      <c r="Q37" s="239"/>
      <c r="R37" s="239"/>
      <c r="S37" s="237"/>
      <c r="T37" s="237"/>
      <c r="U37" s="237"/>
      <c r="V37" s="237"/>
      <c r="W37" s="237"/>
      <c r="X37" s="238"/>
    </row>
    <row r="38" spans="4:24" s="174" customFormat="1" ht="16.2" customHeight="1" thickTop="1" thickBot="1" x14ac:dyDescent="0.2">
      <c r="D38" s="170"/>
      <c r="E38" s="171" t="str">
        <f>REP.footer1</f>
        <v>This report is copyright © Global Tourism Solutions (UK) Ltd 2023</v>
      </c>
      <c r="F38" s="172"/>
      <c r="G38" s="172"/>
      <c r="H38" s="172" t="str">
        <f>IFERROR(INDEX(DATA!$T:$T,MATCH(G$9&amp;".Employment."&amp;$E25:$E32,REP.lookup,0)),"")</f>
        <v/>
      </c>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E9">
    <cfRule type="expression" dxfId="9" priority="9">
      <formula>$E9=0</formula>
    </cfRule>
  </conditionalFormatting>
  <conditionalFormatting sqref="E13:E19">
    <cfRule type="expression" dxfId="8" priority="8">
      <formula>$E13=0</formula>
    </cfRule>
  </conditionalFormatting>
  <conditionalFormatting sqref="E24">
    <cfRule type="expression" dxfId="7" priority="12">
      <formula>$E24=0</formula>
    </cfRule>
  </conditionalFormatting>
  <conditionalFormatting sqref="F10:F19">
    <cfRule type="expression" dxfId="6" priority="14">
      <formula>$E10=0</formula>
    </cfRule>
  </conditionalFormatting>
  <conditionalFormatting sqref="F25:F32 E28:E32">
    <cfRule type="expression" dxfId="5" priority="43">
      <formula>$E25=0</formula>
    </cfRule>
  </conditionalFormatting>
  <conditionalFormatting sqref="G9:R19">
    <cfRule type="expression" dxfId="4" priority="1">
      <formula>G$9=0</formula>
    </cfRule>
  </conditionalFormatting>
  <conditionalFormatting sqref="G10:R19">
    <cfRule type="expression" dxfId="3" priority="25">
      <formula>AND($A$2&gt;1,G10&lt;10)</formula>
    </cfRule>
  </conditionalFormatting>
  <conditionalFormatting sqref="G24:R32">
    <cfRule type="expression" dxfId="2" priority="15">
      <formula>G$9=0</formula>
    </cfRule>
  </conditionalFormatting>
  <conditionalFormatting sqref="S10:S22">
    <cfRule type="expression" dxfId="1" priority="10">
      <formula>MAX($G$10:$S$18)&gt;=5000000</formula>
    </cfRule>
    <cfRule type="expression" dxfId="0" priority="11">
      <formula>S$9=0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68580</xdr:colOff>
                    <xdr:row>4</xdr:row>
                    <xdr:rowOff>22860</xdr:rowOff>
                  </from>
                  <to>
                    <xdr:col>17</xdr:col>
                    <xdr:colOff>289560</xdr:colOff>
                    <xdr:row>4</xdr:row>
                    <xdr:rowOff>297180</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7620</xdr:colOff>
                    <xdr:row>4</xdr:row>
                    <xdr:rowOff>22860</xdr:rowOff>
                  </from>
                  <to>
                    <xdr:col>7</xdr:col>
                    <xdr:colOff>220980</xdr:colOff>
                    <xdr:row>4</xdr:row>
                    <xdr:rowOff>297180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8671875" defaultRowHeight="16.2" customHeight="1" x14ac:dyDescent="0.3"/>
  <cols>
    <col min="1" max="1" width="7.88671875"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9" ht="16.2" hidden="1" customHeight="1" x14ac:dyDescent="0.3">
      <c r="A1" s="110" t="str">
        <f ca="1">MID(CELL("filename",A1),FIND("]",CELL("filename",A1))+1,255)</f>
        <v>COVER</v>
      </c>
      <c r="E1" s="113"/>
      <c r="F1" s="114"/>
      <c r="G1" s="114"/>
      <c r="H1" s="114"/>
      <c r="I1" s="114"/>
      <c r="J1" s="114"/>
      <c r="K1" s="114"/>
      <c r="L1" s="114"/>
      <c r="M1" s="114"/>
      <c r="N1" s="114"/>
      <c r="O1" s="114"/>
      <c r="P1" s="114"/>
      <c r="Q1" s="114"/>
      <c r="R1" s="114"/>
      <c r="S1" s="114"/>
      <c r="T1" s="114"/>
      <c r="U1" s="114"/>
      <c r="V1" s="114"/>
      <c r="W1" s="114"/>
      <c r="X1" s="115"/>
    </row>
    <row r="2" spans="1:29"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9" ht="26.4" customHeight="1" x14ac:dyDescent="0.3">
      <c r="E3" s="119"/>
      <c r="F3" s="120"/>
      <c r="G3" s="120"/>
      <c r="H3" s="120"/>
      <c r="I3" s="120"/>
      <c r="J3" s="120"/>
      <c r="K3" s="120"/>
      <c r="L3" s="120"/>
      <c r="M3" s="120"/>
      <c r="N3" s="120"/>
      <c r="O3" s="120"/>
      <c r="P3" s="120"/>
      <c r="Q3" s="120"/>
      <c r="R3" s="120"/>
      <c r="S3" s="120"/>
      <c r="T3" s="120"/>
      <c r="U3" s="120"/>
      <c r="V3" s="120"/>
      <c r="W3" s="120"/>
      <c r="X3" s="121"/>
    </row>
    <row r="4" spans="1:29" ht="26.4" customHeight="1" x14ac:dyDescent="0.3">
      <c r="E4" s="119"/>
      <c r="F4" s="120"/>
      <c r="G4" s="120"/>
      <c r="H4" s="120"/>
      <c r="I4" s="120"/>
      <c r="J4" s="120"/>
      <c r="K4" s="120"/>
      <c r="L4" s="120"/>
      <c r="M4" s="120"/>
      <c r="N4" s="120"/>
      <c r="O4" s="120"/>
      <c r="P4" s="120"/>
      <c r="Q4" s="120"/>
      <c r="R4" s="120"/>
      <c r="S4" s="120"/>
      <c r="T4" s="120"/>
      <c r="U4" s="120"/>
      <c r="V4" s="120"/>
      <c r="W4" s="120"/>
      <c r="X4" s="121"/>
    </row>
    <row r="5" spans="1:29" ht="26.4" customHeight="1" thickBot="1" x14ac:dyDescent="0.35">
      <c r="E5" s="122"/>
      <c r="F5" s="123"/>
      <c r="G5" s="123"/>
      <c r="H5" s="123"/>
      <c r="I5" s="123"/>
      <c r="J5" s="123"/>
      <c r="K5" s="123"/>
      <c r="L5" s="123"/>
      <c r="M5" s="123"/>
      <c r="N5" s="123"/>
      <c r="O5" s="123"/>
      <c r="P5" s="123"/>
      <c r="Q5" s="123"/>
      <c r="R5" s="123"/>
      <c r="S5" s="123"/>
      <c r="T5" s="123"/>
      <c r="U5" s="123"/>
      <c r="V5" s="123"/>
      <c r="W5" s="123"/>
      <c r="X5" s="124"/>
    </row>
    <row r="6" spans="1:29" ht="16.2" customHeight="1" thickTop="1" thickBot="1" x14ac:dyDescent="0.35">
      <c r="E6" s="99"/>
      <c r="F6" s="99"/>
      <c r="G6" s="99"/>
      <c r="H6" s="99"/>
      <c r="I6" s="99"/>
      <c r="J6" s="99"/>
      <c r="K6" s="99"/>
      <c r="L6" s="99"/>
      <c r="M6" s="99"/>
      <c r="N6" s="99"/>
      <c r="O6" s="99"/>
      <c r="P6" s="1177"/>
      <c r="Q6" s="1178"/>
      <c r="R6" s="1178"/>
      <c r="S6" s="1178"/>
      <c r="T6" s="1178"/>
      <c r="U6" s="1178"/>
      <c r="V6" s="1178"/>
      <c r="W6" s="1178"/>
      <c r="X6" s="1179"/>
    </row>
    <row r="7" spans="1:29" ht="16.2" customHeight="1" thickTop="1" thickBot="1" x14ac:dyDescent="0.35">
      <c r="E7" s="99"/>
      <c r="F7" s="99"/>
      <c r="G7" s="99"/>
      <c r="H7" s="99"/>
      <c r="I7" s="99"/>
      <c r="J7" s="99"/>
      <c r="K7" s="99"/>
      <c r="L7" s="99"/>
      <c r="M7" s="99"/>
      <c r="N7" s="99"/>
      <c r="O7" s="99"/>
      <c r="P7" s="1180"/>
      <c r="Q7" s="1181"/>
      <c r="R7" s="1181"/>
      <c r="S7" s="1181"/>
      <c r="T7" s="1181"/>
      <c r="U7" s="1181"/>
      <c r="V7" s="1181"/>
      <c r="W7" s="1181"/>
      <c r="X7" s="1182"/>
    </row>
    <row r="8" spans="1:29" ht="16.2" customHeight="1" thickTop="1" thickBot="1" x14ac:dyDescent="0.35">
      <c r="E8" s="99"/>
      <c r="F8" s="99"/>
      <c r="G8" s="99"/>
      <c r="H8" s="99"/>
      <c r="I8" s="99"/>
      <c r="J8" s="99"/>
      <c r="K8" s="99"/>
      <c r="L8" s="99"/>
      <c r="M8" s="99"/>
      <c r="N8" s="99"/>
      <c r="O8" s="99"/>
      <c r="P8" s="1183"/>
      <c r="Q8" s="1184"/>
      <c r="R8" s="1184"/>
      <c r="S8" s="1184"/>
      <c r="T8" s="1184"/>
      <c r="U8" s="1184"/>
      <c r="V8" s="1184"/>
      <c r="W8" s="1184"/>
      <c r="X8" s="1185"/>
    </row>
    <row r="9" spans="1:29" s="125" customFormat="1" ht="16.2" customHeight="1" thickTop="1" thickBot="1" x14ac:dyDescent="0.35">
      <c r="E9" s="99"/>
      <c r="F9" s="99"/>
      <c r="G9" s="99"/>
      <c r="H9" s="99"/>
      <c r="I9" s="99"/>
      <c r="J9" s="99"/>
      <c r="K9" s="99"/>
      <c r="L9" s="99"/>
      <c r="M9" s="99"/>
      <c r="N9" s="99"/>
      <c r="O9" s="99"/>
      <c r="P9" s="1186"/>
      <c r="Q9" s="1187"/>
      <c r="R9" s="1187"/>
      <c r="S9" s="1187"/>
      <c r="T9" s="1187"/>
      <c r="U9" s="1187"/>
      <c r="V9" s="1187"/>
      <c r="W9" s="1187"/>
      <c r="X9" s="1188"/>
    </row>
    <row r="10" spans="1:29" s="125" customFormat="1" ht="16.2" customHeight="1" thickTop="1" thickBot="1" x14ac:dyDescent="0.35">
      <c r="E10" s="99"/>
      <c r="F10" s="99"/>
      <c r="G10" s="99"/>
      <c r="H10" s="99"/>
      <c r="I10" s="99"/>
      <c r="J10" s="99"/>
      <c r="K10" s="99"/>
      <c r="L10" s="99"/>
      <c r="M10" s="99"/>
      <c r="N10" s="99"/>
      <c r="O10" s="99"/>
      <c r="P10" s="1165"/>
      <c r="Q10" s="1166"/>
      <c r="R10" s="1166"/>
      <c r="S10" s="1166"/>
      <c r="T10" s="1166"/>
      <c r="U10" s="1166"/>
      <c r="V10" s="1166"/>
      <c r="W10" s="1166"/>
      <c r="X10" s="1167"/>
      <c r="AC10" s="126"/>
    </row>
    <row r="11" spans="1:29" s="125" customFormat="1" ht="16.2" customHeight="1" thickTop="1" thickBot="1" x14ac:dyDescent="0.35">
      <c r="E11" s="127"/>
      <c r="F11" s="127"/>
      <c r="G11" s="127"/>
      <c r="H11" s="127"/>
      <c r="I11" s="127"/>
      <c r="J11" s="127"/>
      <c r="K11" s="127"/>
      <c r="L11" s="127"/>
      <c r="M11" s="128"/>
      <c r="N11" s="128"/>
      <c r="O11" s="128"/>
      <c r="P11" s="1168"/>
      <c r="Q11" s="1169"/>
      <c r="R11" s="1169"/>
      <c r="S11" s="1169"/>
      <c r="T11" s="1169"/>
      <c r="U11" s="1169"/>
      <c r="V11" s="1169"/>
      <c r="W11" s="1169"/>
      <c r="X11" s="1170"/>
    </row>
    <row r="12" spans="1:29" ht="16.2" customHeight="1" thickTop="1" thickBot="1" x14ac:dyDescent="0.35">
      <c r="E12" s="129"/>
      <c r="F12" s="129"/>
      <c r="G12" s="130"/>
      <c r="H12" s="130"/>
      <c r="I12" s="131"/>
      <c r="J12" s="130"/>
      <c r="K12" s="130"/>
      <c r="L12" s="131"/>
      <c r="M12" s="130"/>
      <c r="N12" s="130"/>
      <c r="O12" s="131"/>
      <c r="P12" s="1168"/>
      <c r="Q12" s="1169"/>
      <c r="R12" s="1169"/>
      <c r="S12" s="1169"/>
      <c r="T12" s="1169"/>
      <c r="U12" s="1169"/>
      <c r="V12" s="1169"/>
      <c r="W12" s="1169"/>
      <c r="X12" s="1170"/>
    </row>
    <row r="13" spans="1:29" ht="16.2" customHeight="1" thickTop="1" thickBot="1" x14ac:dyDescent="0.35">
      <c r="E13" s="132"/>
      <c r="F13" s="133"/>
      <c r="G13" s="134"/>
      <c r="H13" s="134"/>
      <c r="I13" s="135"/>
      <c r="J13" s="134"/>
      <c r="K13" s="134"/>
      <c r="L13" s="135"/>
      <c r="M13" s="134"/>
      <c r="N13" s="134"/>
      <c r="O13" s="135"/>
      <c r="P13" s="1171"/>
      <c r="Q13" s="1172"/>
      <c r="R13" s="1172"/>
      <c r="S13" s="1172"/>
      <c r="T13" s="1172"/>
      <c r="U13" s="1172"/>
      <c r="V13" s="1172"/>
      <c r="W13" s="1172"/>
      <c r="X13" s="1173"/>
    </row>
    <row r="14" spans="1:29" ht="16.2" customHeight="1" thickTop="1" thickBot="1" x14ac:dyDescent="0.35">
      <c r="E14" s="132"/>
      <c r="F14" s="133"/>
      <c r="G14" s="134"/>
      <c r="H14" s="134"/>
      <c r="I14" s="135"/>
      <c r="J14" s="134"/>
      <c r="K14" s="134"/>
      <c r="L14" s="135"/>
      <c r="M14" s="134"/>
      <c r="N14" s="134"/>
      <c r="O14" s="135"/>
      <c r="P14" s="1174"/>
      <c r="Q14" s="1175"/>
      <c r="R14" s="1175"/>
      <c r="S14" s="1175"/>
      <c r="T14" s="1175"/>
      <c r="U14" s="1175"/>
      <c r="V14" s="1175"/>
      <c r="W14" s="1175"/>
      <c r="X14" s="1176"/>
    </row>
    <row r="15" spans="1:29" ht="16.2" customHeight="1" thickTop="1" thickBot="1" x14ac:dyDescent="0.35">
      <c r="E15" s="132"/>
      <c r="F15" s="133"/>
      <c r="G15" s="134"/>
      <c r="H15" s="134"/>
      <c r="I15" s="135"/>
      <c r="J15" s="134"/>
      <c r="K15" s="134"/>
      <c r="L15" s="135"/>
      <c r="M15" s="134"/>
      <c r="N15" s="134"/>
      <c r="O15" s="135"/>
      <c r="P15" s="136"/>
      <c r="Q15" s="137"/>
      <c r="R15" s="138"/>
      <c r="S15" s="137"/>
      <c r="T15" s="137"/>
      <c r="U15" s="138"/>
      <c r="V15" s="139"/>
      <c r="W15" s="139"/>
      <c r="X15" s="140"/>
    </row>
    <row r="16" spans="1:29" ht="16.2" customHeight="1" thickTop="1" thickBot="1" x14ac:dyDescent="0.35">
      <c r="E16" s="132"/>
      <c r="F16" s="133"/>
      <c r="G16" s="141"/>
      <c r="H16" s="141"/>
      <c r="I16" s="135"/>
      <c r="J16" s="141"/>
      <c r="K16" s="141"/>
      <c r="L16" s="135"/>
      <c r="M16" s="141"/>
      <c r="N16" s="141"/>
      <c r="O16" s="135"/>
      <c r="P16" s="142"/>
      <c r="Q16" s="143"/>
      <c r="R16" s="143"/>
      <c r="S16" s="144"/>
      <c r="T16" s="144"/>
      <c r="U16" s="144"/>
      <c r="V16" s="145"/>
      <c r="W16" s="145"/>
      <c r="X16" s="146"/>
    </row>
    <row r="17" spans="5:24" ht="16.2" customHeight="1" thickTop="1" thickBot="1" x14ac:dyDescent="0.35">
      <c r="E17" s="147"/>
      <c r="F17" s="133"/>
      <c r="G17" s="148"/>
      <c r="H17" s="134"/>
      <c r="I17" s="135"/>
      <c r="J17" s="148"/>
      <c r="K17" s="134"/>
      <c r="L17" s="135"/>
      <c r="M17" s="148"/>
      <c r="N17" s="134"/>
      <c r="O17" s="135"/>
      <c r="P17" s="142"/>
      <c r="Q17" s="143"/>
      <c r="R17" s="143"/>
      <c r="S17" s="144"/>
      <c r="T17" s="144"/>
      <c r="U17" s="144"/>
      <c r="V17" s="145"/>
      <c r="W17" s="145"/>
      <c r="X17" s="146"/>
    </row>
    <row r="18" spans="5:24" ht="16.2" customHeight="1" thickTop="1" thickBot="1" x14ac:dyDescent="0.35">
      <c r="E18" s="147"/>
      <c r="F18" s="133"/>
      <c r="G18" s="134"/>
      <c r="H18" s="134"/>
      <c r="I18" s="135"/>
      <c r="J18" s="134"/>
      <c r="K18" s="134"/>
      <c r="L18" s="135"/>
      <c r="M18" s="134"/>
      <c r="N18" s="134"/>
      <c r="O18" s="135"/>
      <c r="P18" s="142"/>
      <c r="Q18" s="143"/>
      <c r="R18" s="143"/>
      <c r="S18" s="144"/>
      <c r="T18" s="144"/>
      <c r="U18" s="144"/>
      <c r="V18" s="145"/>
      <c r="W18" s="145"/>
      <c r="X18" s="146"/>
    </row>
    <row r="19" spans="5:24" ht="16.2" customHeight="1" thickTop="1" thickBot="1" x14ac:dyDescent="0.35">
      <c r="E19" s="149"/>
      <c r="F19" s="149"/>
      <c r="G19" s="149"/>
      <c r="H19" s="149"/>
      <c r="I19" s="149"/>
      <c r="J19" s="149"/>
      <c r="K19" s="149"/>
      <c r="L19" s="149"/>
      <c r="M19" s="149"/>
      <c r="N19" s="149"/>
      <c r="O19" s="149"/>
      <c r="P19" s="142"/>
      <c r="Q19" s="143"/>
      <c r="R19" s="143"/>
      <c r="S19" s="144"/>
      <c r="T19" s="144"/>
      <c r="U19" s="144"/>
      <c r="V19" s="145"/>
      <c r="W19" s="145"/>
      <c r="X19" s="146"/>
    </row>
    <row r="20" spans="5:24" ht="16.2" customHeight="1" thickTop="1" thickBot="1" x14ac:dyDescent="0.35">
      <c r="E20" s="150"/>
      <c r="F20" s="150"/>
      <c r="G20" s="127"/>
      <c r="H20" s="127"/>
      <c r="I20" s="127"/>
      <c r="J20" s="127"/>
      <c r="K20" s="127"/>
      <c r="L20" s="127"/>
      <c r="M20" s="128"/>
      <c r="N20" s="128"/>
      <c r="O20" s="128"/>
      <c r="P20" s="142"/>
      <c r="Q20" s="143"/>
      <c r="R20" s="143"/>
      <c r="S20" s="144"/>
      <c r="T20" s="144"/>
      <c r="U20" s="144"/>
      <c r="V20" s="145"/>
      <c r="W20" s="145"/>
      <c r="X20" s="146"/>
    </row>
    <row r="21" spans="5:24" ht="24" customHeight="1" thickTop="1" thickBot="1" x14ac:dyDescent="0.35">
      <c r="E21" s="149"/>
      <c r="F21" s="149"/>
      <c r="G21" s="129"/>
      <c r="H21" s="129"/>
      <c r="I21" s="129"/>
      <c r="J21" s="129"/>
      <c r="K21" s="129"/>
      <c r="L21" s="129"/>
      <c r="M21" s="129"/>
      <c r="N21" s="129"/>
      <c r="O21" s="129"/>
      <c r="P21" s="151"/>
      <c r="Q21" s="152"/>
      <c r="R21" s="152"/>
      <c r="S21" s="152"/>
      <c r="T21" s="152"/>
      <c r="U21" s="152"/>
      <c r="V21" s="152"/>
      <c r="W21" s="152"/>
      <c r="X21" s="146"/>
    </row>
    <row r="22" spans="5:24" ht="24" customHeight="1" thickTop="1" thickBot="1" x14ac:dyDescent="0.35">
      <c r="E22" s="149"/>
      <c r="F22" s="149"/>
      <c r="G22" s="129"/>
      <c r="H22" s="129"/>
      <c r="I22" s="129"/>
      <c r="J22" s="129"/>
      <c r="K22" s="129"/>
      <c r="L22" s="129"/>
      <c r="M22" s="129"/>
      <c r="N22" s="129"/>
      <c r="O22" s="129"/>
      <c r="P22" s="151"/>
      <c r="Q22" s="152"/>
      <c r="R22" s="152"/>
      <c r="S22" s="152"/>
      <c r="T22" s="152"/>
      <c r="U22" s="152"/>
      <c r="V22" s="152"/>
      <c r="W22" s="145"/>
      <c r="X22" s="146"/>
    </row>
    <row r="23" spans="5:24" ht="24" customHeight="1" thickTop="1" thickBot="1" x14ac:dyDescent="0.45">
      <c r="E23" s="149"/>
      <c r="F23" s="149"/>
      <c r="G23" s="129"/>
      <c r="H23" s="129"/>
      <c r="I23" s="129"/>
      <c r="J23" s="129"/>
      <c r="K23" s="129"/>
      <c r="L23" s="129"/>
      <c r="M23" s="129"/>
      <c r="N23" s="129"/>
      <c r="O23" s="129"/>
      <c r="P23" s="151"/>
      <c r="Q23" s="152"/>
      <c r="R23" s="152"/>
      <c r="S23" s="152"/>
      <c r="T23" s="152"/>
      <c r="U23" s="152"/>
      <c r="V23" s="152"/>
      <c r="W23" s="105" t="str">
        <f t="array" ref="W23:W34">IF(ISBLANK(REP.companycontacts),"",REP.companycontacts)</f>
        <v/>
      </c>
      <c r="X23" s="146"/>
    </row>
    <row r="24" spans="5:24" ht="24" customHeight="1" thickTop="1" thickBot="1" x14ac:dyDescent="0.35">
      <c r="E24" s="127"/>
      <c r="F24" s="127"/>
      <c r="G24" s="129"/>
      <c r="H24" s="129"/>
      <c r="I24" s="129"/>
      <c r="J24" s="129"/>
      <c r="K24" s="129"/>
      <c r="L24" s="129"/>
      <c r="M24" s="129"/>
      <c r="N24" s="129"/>
      <c r="O24" s="129"/>
      <c r="P24" s="151"/>
      <c r="Q24" s="152"/>
      <c r="R24" s="152"/>
      <c r="S24" s="152"/>
      <c r="T24" s="152"/>
      <c r="U24" s="152"/>
      <c r="V24" s="152"/>
      <c r="W24" s="106" t="str">
        <f ca="1"/>
        <v>Global Tourism Solutions (UK) Ltd</v>
      </c>
      <c r="X24" s="146"/>
    </row>
    <row r="25" spans="5:24" ht="16.2" customHeight="1" thickTop="1" thickBot="1" x14ac:dyDescent="0.3">
      <c r="E25" s="149"/>
      <c r="F25" s="149"/>
      <c r="G25" s="149"/>
      <c r="H25" s="149"/>
      <c r="I25" s="149"/>
      <c r="J25" s="149"/>
      <c r="K25" s="149"/>
      <c r="L25" s="149"/>
      <c r="M25" s="149"/>
      <c r="N25" s="149"/>
      <c r="O25" s="149"/>
      <c r="P25" s="153"/>
      <c r="Q25" s="144"/>
      <c r="R25" s="144"/>
      <c r="S25" s="144"/>
      <c r="T25" s="144"/>
      <c r="U25" s="144"/>
      <c r="V25" s="144"/>
      <c r="W25" s="107" t="str">
        <f ca="1"/>
        <v xml:space="preserve">71 Heol Gwys </v>
      </c>
      <c r="X25" s="146"/>
    </row>
    <row r="26" spans="5:24" ht="16.2" customHeight="1" thickTop="1" thickBot="1" x14ac:dyDescent="0.3">
      <c r="E26" s="129"/>
      <c r="F26" s="129"/>
      <c r="G26" s="129"/>
      <c r="H26" s="129"/>
      <c r="I26" s="129"/>
      <c r="J26" s="130"/>
      <c r="K26" s="130"/>
      <c r="L26" s="131"/>
      <c r="M26" s="149"/>
      <c r="N26" s="149"/>
      <c r="O26" s="149"/>
      <c r="P26" s="154"/>
      <c r="Q26" s="155"/>
      <c r="R26" s="156"/>
      <c r="S26" s="152"/>
      <c r="T26" s="152"/>
      <c r="U26" s="152"/>
      <c r="V26" s="152"/>
      <c r="W26" s="108" t="str">
        <f ca="1"/>
        <v xml:space="preserve">Upper Cwmtwrch </v>
      </c>
      <c r="X26" s="146"/>
    </row>
    <row r="27" spans="5:24" ht="16.2" customHeight="1" thickTop="1" thickBot="1" x14ac:dyDescent="0.3">
      <c r="E27" s="129"/>
      <c r="F27" s="129"/>
      <c r="G27" s="129"/>
      <c r="H27" s="129"/>
      <c r="I27" s="129"/>
      <c r="J27" s="141"/>
      <c r="K27" s="141"/>
      <c r="L27" s="135"/>
      <c r="M27" s="129"/>
      <c r="N27" s="129"/>
      <c r="O27" s="129"/>
      <c r="P27" s="157"/>
      <c r="Q27" s="158"/>
      <c r="R27" s="159"/>
      <c r="S27" s="152"/>
      <c r="T27" s="152"/>
      <c r="U27" s="152"/>
      <c r="V27" s="152"/>
      <c r="W27" s="108" t="str">
        <f ca="1"/>
        <v xml:space="preserve">Swansea </v>
      </c>
      <c r="X27" s="146"/>
    </row>
    <row r="28" spans="5:24" ht="16.2" customHeight="1" thickTop="1" thickBot="1" x14ac:dyDescent="0.3">
      <c r="E28" s="129"/>
      <c r="F28" s="129"/>
      <c r="G28" s="129"/>
      <c r="H28" s="129"/>
      <c r="I28" s="129"/>
      <c r="J28" s="141"/>
      <c r="K28" s="141"/>
      <c r="L28" s="135"/>
      <c r="M28" s="129"/>
      <c r="N28" s="129"/>
      <c r="O28" s="129"/>
      <c r="P28" s="157"/>
      <c r="Q28" s="158"/>
      <c r="R28" s="159"/>
      <c r="S28" s="152"/>
      <c r="T28" s="152"/>
      <c r="U28" s="152"/>
      <c r="V28" s="152"/>
      <c r="W28" s="108" t="str">
        <f ca="1"/>
        <v>SA9 2XH</v>
      </c>
      <c r="X28" s="146"/>
    </row>
    <row r="29" spans="5:24" ht="16.2" customHeight="1" thickTop="1" thickBot="1" x14ac:dyDescent="0.3">
      <c r="E29" s="129"/>
      <c r="F29" s="129"/>
      <c r="G29" s="129"/>
      <c r="H29" s="129"/>
      <c r="I29" s="129"/>
      <c r="J29" s="141"/>
      <c r="K29" s="141"/>
      <c r="L29" s="135"/>
      <c r="M29" s="129"/>
      <c r="N29" s="129"/>
      <c r="O29" s="129"/>
      <c r="P29" s="157"/>
      <c r="Q29" s="158"/>
      <c r="R29" s="159"/>
      <c r="S29" s="152"/>
      <c r="T29" s="152"/>
      <c r="U29" s="152"/>
      <c r="V29" s="152"/>
      <c r="W29" s="108">
        <f ca="1"/>
        <v>0</v>
      </c>
      <c r="X29" s="146"/>
    </row>
    <row r="30" spans="5:24" ht="16.2" customHeight="1" thickTop="1" thickBot="1" x14ac:dyDescent="0.3">
      <c r="E30" s="129"/>
      <c r="F30" s="129"/>
      <c r="G30" s="129"/>
      <c r="H30" s="129"/>
      <c r="I30" s="129"/>
      <c r="J30" s="141"/>
      <c r="K30" s="141"/>
      <c r="L30" s="135"/>
      <c r="M30" s="129"/>
      <c r="N30" s="129"/>
      <c r="O30" s="129"/>
      <c r="P30" s="157"/>
      <c r="Q30" s="158"/>
      <c r="R30" s="159"/>
      <c r="S30" s="152"/>
      <c r="T30" s="152"/>
      <c r="U30" s="152"/>
      <c r="V30" s="152"/>
      <c r="W30" s="108">
        <f ca="1"/>
        <v>0</v>
      </c>
      <c r="X30" s="146"/>
    </row>
    <row r="31" spans="5:24" ht="16.2" customHeight="1" thickTop="1" thickBot="1" x14ac:dyDescent="0.3">
      <c r="E31" s="129"/>
      <c r="F31" s="129"/>
      <c r="G31" s="129"/>
      <c r="H31" s="129"/>
      <c r="I31" s="129"/>
      <c r="J31" s="141"/>
      <c r="K31" s="141"/>
      <c r="L31" s="135"/>
      <c r="M31" s="129"/>
      <c r="N31" s="129"/>
      <c r="O31" s="129"/>
      <c r="P31" s="157"/>
      <c r="Q31" s="158"/>
      <c r="R31" s="159"/>
      <c r="S31" s="152"/>
      <c r="T31" s="152"/>
      <c r="U31" s="152"/>
      <c r="V31" s="152"/>
      <c r="W31" s="107" t="str">
        <f ca="1"/>
        <v>Telephone: 0798 445 5388</v>
      </c>
      <c r="X31" s="146"/>
    </row>
    <row r="32" spans="5:24" ht="16.2" customHeight="1" thickTop="1" thickBot="1" x14ac:dyDescent="0.3">
      <c r="E32" s="129"/>
      <c r="F32" s="129"/>
      <c r="G32" s="129"/>
      <c r="H32" s="129"/>
      <c r="I32" s="129"/>
      <c r="J32" s="160"/>
      <c r="K32" s="160"/>
      <c r="L32" s="161"/>
      <c r="M32" s="149"/>
      <c r="N32" s="149"/>
      <c r="O32" s="149"/>
      <c r="P32" s="162"/>
      <c r="Q32" s="163"/>
      <c r="R32" s="164"/>
      <c r="S32" s="152"/>
      <c r="T32" s="152"/>
      <c r="U32" s="152"/>
      <c r="V32" s="152"/>
      <c r="W32" s="107" t="str">
        <f ca="1"/>
        <v>Email: cj.gtsuk@btinternet.com</v>
      </c>
      <c r="X32" s="146"/>
    </row>
    <row r="33" spans="4:24" ht="16.2" customHeight="1" thickTop="1" thickBot="1" x14ac:dyDescent="0.3">
      <c r="E33" s="129"/>
      <c r="F33" s="129"/>
      <c r="G33" s="129"/>
      <c r="H33" s="129"/>
      <c r="I33" s="129"/>
      <c r="J33" s="141"/>
      <c r="K33" s="141"/>
      <c r="L33" s="135"/>
      <c r="M33" s="129"/>
      <c r="N33" s="129"/>
      <c r="O33" s="129"/>
      <c r="P33" s="157"/>
      <c r="Q33" s="158"/>
      <c r="R33" s="159"/>
      <c r="S33" s="152"/>
      <c r="T33" s="152"/>
      <c r="U33" s="152"/>
      <c r="V33" s="152"/>
      <c r="W33" s="107" t="str">
        <f ca="1"/>
        <v>Website: www.globaltourismsolutions.co.uk</v>
      </c>
      <c r="X33" s="146"/>
    </row>
    <row r="34" spans="4:24" ht="16.2" customHeight="1" thickTop="1" thickBot="1" x14ac:dyDescent="0.35">
      <c r="E34" s="129"/>
      <c r="F34" s="129"/>
      <c r="G34" s="129"/>
      <c r="H34" s="129"/>
      <c r="I34" s="129"/>
      <c r="J34" s="160"/>
      <c r="K34" s="160"/>
      <c r="L34" s="161"/>
      <c r="M34" s="149"/>
      <c r="N34" s="149"/>
      <c r="O34" s="149"/>
      <c r="P34" s="165"/>
      <c r="Q34" s="166"/>
      <c r="R34" s="167"/>
      <c r="S34" s="168"/>
      <c r="T34" s="168"/>
      <c r="U34" s="168"/>
      <c r="V34" s="168"/>
      <c r="W34" s="109" t="str">
        <v/>
      </c>
      <c r="X34" s="169"/>
    </row>
    <row r="35" spans="4:24" s="174" customFormat="1" ht="16.2" customHeight="1" thickTop="1" thickBot="1" x14ac:dyDescent="0.2">
      <c r="D35" s="170"/>
      <c r="E35" s="171"/>
      <c r="F35" s="172"/>
      <c r="G35" s="172"/>
      <c r="H35" s="172"/>
      <c r="I35" s="172"/>
      <c r="J35" s="172"/>
      <c r="K35" s="172"/>
      <c r="L35" s="172"/>
      <c r="M35" s="172"/>
      <c r="N35" s="172"/>
      <c r="O35" s="172"/>
      <c r="P35" s="172"/>
      <c r="Q35" s="172"/>
      <c r="R35" s="172"/>
      <c r="S35" s="172"/>
      <c r="T35" s="172"/>
      <c r="U35" s="172"/>
      <c r="V35" s="172"/>
      <c r="W35" s="172"/>
      <c r="X35" s="173"/>
    </row>
    <row r="36" spans="4:24" ht="16.2" customHeight="1" thickTop="1" x14ac:dyDescent="0.3"/>
    <row r="67" spans="7:23" ht="16.2" customHeight="1" x14ac:dyDescent="0.3">
      <c r="G67" s="111" t="s">
        <v>43</v>
      </c>
      <c r="H67" s="111" t="s">
        <v>43</v>
      </c>
      <c r="J67" s="111" t="s">
        <v>48</v>
      </c>
      <c r="K67" s="111" t="s">
        <v>48</v>
      </c>
      <c r="M67" s="111" t="s">
        <v>18</v>
      </c>
      <c r="N67" s="111" t="s">
        <v>18</v>
      </c>
      <c r="P67" s="111" t="s">
        <v>95</v>
      </c>
      <c r="S67" s="111" t="s">
        <v>71</v>
      </c>
      <c r="T67" s="111" t="s">
        <v>71</v>
      </c>
      <c r="V67" s="111" t="s">
        <v>54</v>
      </c>
      <c r="W67" s="111"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Client05">
    <tabColor rgb="FF00B0F0"/>
    <outlinePr showOutlineSymbols="0"/>
    <pageSetUpPr autoPageBreaks="0" fitToPage="1"/>
  </sheetPr>
  <dimension ref="A1:Y70"/>
  <sheetViews>
    <sheetView showGridLines="0" showRowColHeaders="0" showZeros="0" showOutlineSymbols="0" topLeftCell="A2" zoomScaleNormal="100" workbookViewId="0">
      <pane ySplit="6" topLeftCell="A11" activePane="bottomLeft" state="frozen"/>
      <selection activeCell="M48" sqref="M48"/>
      <selection pane="bottomLeft" activeCell="Z16" sqref="Z1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5" ht="16.2" hidden="1" customHeight="1" thickTop="1" thickBot="1" x14ac:dyDescent="0.35">
      <c r="A1" s="110" t="str">
        <f ca="1">MID(CELL("filename",A1),FIND("]",CELL("filename",A1))+1,255)</f>
        <v>CONTENTS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559" t="str">
        <f>REP.title1</f>
        <v>STEAM FINAL TREND REPORT FOR 2011-2022</v>
      </c>
      <c r="F6" s="560"/>
      <c r="G6" s="560"/>
      <c r="H6" s="560"/>
      <c r="I6" s="560"/>
      <c r="J6" s="560"/>
      <c r="K6" s="560"/>
      <c r="L6" s="560"/>
      <c r="M6" s="560"/>
      <c r="N6" s="560"/>
      <c r="O6" s="560"/>
      <c r="P6" s="561"/>
      <c r="Q6" s="561"/>
      <c r="R6" s="561"/>
      <c r="S6" s="561"/>
      <c r="T6" s="795" t="s">
        <v>141</v>
      </c>
      <c r="U6" s="795"/>
      <c r="V6" s="795"/>
      <c r="W6" s="795"/>
      <c r="X6" s="796"/>
    </row>
    <row r="7" spans="1:25" ht="16.2" customHeight="1" thickBot="1" x14ac:dyDescent="0.35">
      <c r="E7" s="562" t="str">
        <f>REP.title2</f>
        <v>CONWY COUNTY BOROUGH COUNCIL</v>
      </c>
      <c r="F7" s="563"/>
      <c r="G7" s="563"/>
      <c r="H7" s="563"/>
      <c r="I7" s="564"/>
      <c r="J7" s="564"/>
      <c r="K7" s="564"/>
      <c r="L7" s="564"/>
      <c r="M7" s="564"/>
      <c r="N7" s="564"/>
      <c r="O7" s="565"/>
      <c r="P7" s="565"/>
      <c r="Q7" s="565"/>
      <c r="R7" s="565"/>
      <c r="S7" s="565"/>
      <c r="T7" s="798"/>
      <c r="U7" s="798"/>
      <c r="V7" s="798"/>
      <c r="W7" s="798"/>
      <c r="X7" s="799"/>
    </row>
    <row r="8" spans="1:25"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5"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5"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5"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5"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5"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5"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5"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5"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'CONTENTS'!$G$27:$R$27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'CONTENTS'!$G$28:$R$28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'CONTENTS'!$G$29:$R$29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'CONTENTS'!$G$30:$R$30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'CONTENTS'!$G$31:$R$31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'CONTENTS'!$G$32:$R$32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50"/>
      <c r="F36" s="551"/>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444"/>
      <c r="F37" s="445"/>
      <c r="G37" s="446"/>
      <c r="H37" s="446"/>
      <c r="I37" s="446"/>
      <c r="J37" s="446"/>
      <c r="K37" s="446"/>
      <c r="L37" s="446"/>
      <c r="M37" s="446"/>
      <c r="N37" s="446"/>
      <c r="O37" s="446"/>
      <c r="P37" s="446"/>
      <c r="Q37" s="446"/>
      <c r="R37" s="446"/>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FRYroi2eNiaeNIA22sOVvRqlm0AroK1hZi1F0Ml/44Ir4R+WoGRT7JxcudR52HIM1LwSi5drYmkpc+EBh+MQ==" saltValue="5rK9unzDUd7Ysxbvlr0AY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Data" filterMode="1">
    <tabColor rgb="FFFFFF00"/>
  </sheetPr>
  <dimension ref="A1:U992"/>
  <sheetViews>
    <sheetView showGridLines="0" showRowColHeaders="0" topLeftCell="D1" zoomScale="68" zoomScaleNormal="68" workbookViewId="0">
      <pane ySplit="8" topLeftCell="A9" activePane="bottomLeft" state="frozen"/>
      <selection activeCell="M48" sqref="M48"/>
      <selection pane="bottomLeft" activeCell="G61" sqref="G61"/>
    </sheetView>
  </sheetViews>
  <sheetFormatPr defaultColWidth="0" defaultRowHeight="12.75" customHeight="1" x14ac:dyDescent="0.3"/>
  <cols>
    <col min="1" max="1" width="51.88671875" style="103" hidden="1" customWidth="1"/>
    <col min="2" max="2" width="8.5546875" style="103" hidden="1" customWidth="1"/>
    <col min="3" max="3" width="51.88671875" style="103" hidden="1" customWidth="1"/>
    <col min="4" max="4" width="8.5546875" style="103" customWidth="1"/>
    <col min="5" max="5" width="31.33203125" style="103" customWidth="1"/>
    <col min="6" max="7" width="30.44140625" style="103" customWidth="1"/>
    <col min="8" max="20" width="12.33203125" style="103" customWidth="1"/>
    <col min="21" max="21" width="15.44140625" style="103" customWidth="1"/>
    <col min="22" max="16384" width="18.6640625" style="530" hidden="1"/>
  </cols>
  <sheetData>
    <row r="1" spans="1:21" s="527" customFormat="1" ht="14.4" customHeight="1" x14ac:dyDescent="0.3">
      <c r="A1" s="176"/>
      <c r="B1" s="176"/>
      <c r="C1" s="176"/>
      <c r="D1" s="175" t="str">
        <f>REP.gts</f>
        <v>Global Tourism Solutions (UK) Ltd</v>
      </c>
      <c r="E1" s="176"/>
      <c r="F1" s="176"/>
      <c r="G1" s="176"/>
      <c r="H1" s="176"/>
      <c r="I1" s="176"/>
      <c r="J1" s="176"/>
      <c r="K1" s="176"/>
      <c r="L1" s="176"/>
      <c r="M1" s="176"/>
      <c r="N1" s="176"/>
      <c r="O1" s="176"/>
      <c r="P1" s="176"/>
      <c r="Q1" s="176"/>
      <c r="R1" s="176"/>
      <c r="S1" s="176"/>
      <c r="T1" s="176"/>
      <c r="U1" s="177"/>
    </row>
    <row r="2" spans="1:21" s="528" customFormat="1" ht="14.4" customHeight="1" x14ac:dyDescent="0.3">
      <c r="A2" s="178"/>
      <c r="B2" s="178"/>
      <c r="C2" s="178"/>
      <c r="D2" s="100" t="str">
        <f>REP.product&amp;" - "&amp;REP.authority&amp;IF(ISBLANK(REP.subzone)," - "," - "&amp;REP.subzone&amp;" - ")&amp;MIN(REP.yearsrange)&amp;" to "&amp;MAX(REP.yearsrange)</f>
        <v>STEAM - CONWY COUNTY BOROUGH COUNCIL - 2011 to 2022</v>
      </c>
      <c r="E2" s="178"/>
      <c r="F2" s="178"/>
      <c r="G2" s="178"/>
      <c r="H2" s="178"/>
      <c r="I2" s="178"/>
      <c r="J2" s="178"/>
      <c r="K2" s="178"/>
      <c r="L2" s="178"/>
      <c r="M2" s="178"/>
      <c r="N2" s="178"/>
      <c r="O2" s="178"/>
      <c r="P2" s="178"/>
      <c r="Q2" s="178"/>
      <c r="R2" s="178"/>
      <c r="S2" s="178"/>
      <c r="T2" s="178"/>
      <c r="U2" s="179"/>
    </row>
    <row r="3" spans="1:21" s="528" customFormat="1" ht="14.4" customHeight="1" x14ac:dyDescent="0.3">
      <c r="A3" s="178"/>
      <c r="B3" s="178"/>
      <c r="C3" s="178"/>
      <c r="D3" s="101" t="str">
        <f ca="1">MID(CELL("filename",A1),FIND("]",CELL("filename",A1))+1,255)</f>
        <v>DATA</v>
      </c>
      <c r="E3" s="178"/>
      <c r="F3" s="178"/>
      <c r="G3" s="178"/>
      <c r="H3" s="178"/>
      <c r="I3" s="178"/>
      <c r="J3" s="178"/>
      <c r="K3" s="178"/>
      <c r="L3" s="178"/>
      <c r="M3" s="178"/>
      <c r="N3" s="178"/>
      <c r="O3" s="178"/>
      <c r="P3" s="178"/>
      <c r="Q3" s="178"/>
      <c r="R3" s="178"/>
      <c r="S3" s="178"/>
      <c r="T3" s="178"/>
      <c r="U3" s="179"/>
    </row>
    <row r="4" spans="1:21" s="528" customFormat="1" ht="14.4" customHeight="1" x14ac:dyDescent="0.3">
      <c r="A4" s="178"/>
      <c r="B4" s="178"/>
      <c r="C4" s="178"/>
      <c r="D4" s="101"/>
      <c r="E4" s="178"/>
      <c r="F4" s="178"/>
      <c r="G4" s="178"/>
      <c r="H4" s="178"/>
      <c r="I4" s="178"/>
      <c r="J4" s="178"/>
      <c r="K4" s="178"/>
      <c r="L4" s="178"/>
      <c r="M4" s="178"/>
      <c r="N4" s="178"/>
      <c r="O4" s="178"/>
      <c r="P4" s="178"/>
      <c r="Q4" s="178"/>
      <c r="R4" s="178"/>
      <c r="S4" s="178"/>
      <c r="T4" s="178"/>
      <c r="U4" s="179"/>
    </row>
    <row r="5" spans="1:21" s="527" customFormat="1" ht="14.4" customHeight="1" x14ac:dyDescent="0.3">
      <c r="A5" s="176"/>
      <c r="B5" s="176"/>
      <c r="C5" s="176"/>
      <c r="D5" s="101" t="str">
        <f>REP.footer1</f>
        <v>This report is copyright © Global Tourism Solutions (UK) Ltd 2023</v>
      </c>
      <c r="E5" s="176"/>
      <c r="F5" s="176"/>
      <c r="G5" s="176"/>
      <c r="H5" s="176"/>
      <c r="I5" s="176"/>
      <c r="J5" s="176"/>
      <c r="K5" s="176"/>
      <c r="L5" s="176"/>
      <c r="M5" s="176"/>
      <c r="N5" s="176"/>
      <c r="O5" s="176"/>
      <c r="P5" s="176"/>
      <c r="Q5" s="176"/>
      <c r="R5" s="176"/>
      <c r="S5" s="176"/>
      <c r="T5" s="176"/>
      <c r="U5" s="177"/>
    </row>
    <row r="6" spans="1:21" s="527" customFormat="1" ht="14.4" customHeight="1" x14ac:dyDescent="0.3">
      <c r="A6" s="176"/>
      <c r="B6" s="176"/>
      <c r="C6" s="176"/>
      <c r="D6" s="102" t="str">
        <f>REP.footer2</f>
        <v>Report Prepared by: Cathy James. Date of Issue: 14/08/23</v>
      </c>
      <c r="E6" s="176"/>
      <c r="F6" s="176"/>
      <c r="G6" s="176"/>
      <c r="H6" s="176"/>
      <c r="I6" s="176"/>
      <c r="J6" s="176"/>
      <c r="K6" s="176"/>
      <c r="L6" s="176"/>
      <c r="M6" s="176"/>
      <c r="N6" s="176"/>
      <c r="O6" s="176"/>
      <c r="P6" s="176"/>
      <c r="Q6" s="176"/>
      <c r="R6" s="176"/>
      <c r="S6" s="176"/>
      <c r="T6" s="176"/>
      <c r="U6" s="177"/>
    </row>
    <row r="7" spans="1:21" s="527" customFormat="1" ht="4.95" hidden="1" customHeight="1" x14ac:dyDescent="0.3">
      <c r="A7" s="176">
        <v>-1</v>
      </c>
      <c r="B7" s="176">
        <v>0</v>
      </c>
      <c r="C7" s="176">
        <v>1</v>
      </c>
      <c r="D7" s="102">
        <v>2</v>
      </c>
      <c r="E7" s="176">
        <v>3</v>
      </c>
      <c r="F7" s="176">
        <v>4</v>
      </c>
      <c r="G7" s="176">
        <v>5</v>
      </c>
      <c r="H7" s="176">
        <v>6</v>
      </c>
      <c r="I7" s="176">
        <v>7</v>
      </c>
      <c r="J7" s="176">
        <v>8</v>
      </c>
      <c r="K7" s="176">
        <v>9</v>
      </c>
      <c r="L7" s="176">
        <v>10</v>
      </c>
      <c r="M7" s="176">
        <v>11</v>
      </c>
      <c r="N7" s="176">
        <v>12</v>
      </c>
      <c r="O7" s="176">
        <v>13</v>
      </c>
      <c r="P7" s="176">
        <v>14</v>
      </c>
      <c r="Q7" s="176">
        <v>15</v>
      </c>
      <c r="R7" s="176">
        <v>16</v>
      </c>
      <c r="S7" s="176">
        <v>17</v>
      </c>
      <c r="T7" s="176">
        <v>18</v>
      </c>
      <c r="U7" s="177">
        <v>19</v>
      </c>
    </row>
    <row r="8" spans="1:21" s="529" customFormat="1" ht="15.6" x14ac:dyDescent="0.3">
      <c r="A8" s="180" t="s">
        <v>136</v>
      </c>
      <c r="B8" s="180" t="s">
        <v>137</v>
      </c>
      <c r="C8" s="180" t="s">
        <v>39</v>
      </c>
      <c r="D8" s="180" t="s">
        <v>15</v>
      </c>
      <c r="E8" s="180" t="s">
        <v>24</v>
      </c>
      <c r="F8" s="180" t="s">
        <v>25</v>
      </c>
      <c r="G8" s="180" t="s">
        <v>25</v>
      </c>
      <c r="H8" s="180" t="s">
        <v>26</v>
      </c>
      <c r="I8" s="180" t="s">
        <v>27</v>
      </c>
      <c r="J8" s="180" t="s">
        <v>28</v>
      </c>
      <c r="K8" s="180" t="s">
        <v>29</v>
      </c>
      <c r="L8" s="180" t="s">
        <v>30</v>
      </c>
      <c r="M8" s="180" t="s">
        <v>31</v>
      </c>
      <c r="N8" s="180" t="s">
        <v>32</v>
      </c>
      <c r="O8" s="180" t="s">
        <v>33</v>
      </c>
      <c r="P8" s="180" t="s">
        <v>34</v>
      </c>
      <c r="Q8" s="180" t="s">
        <v>35</v>
      </c>
      <c r="R8" s="180" t="s">
        <v>36</v>
      </c>
      <c r="S8" s="180" t="s">
        <v>37</v>
      </c>
      <c r="T8" s="180" t="s">
        <v>38</v>
      </c>
      <c r="U8" s="180" t="s">
        <v>56</v>
      </c>
    </row>
    <row r="9" spans="1:21" ht="13.8" x14ac:dyDescent="0.3">
      <c r="A9" s="530" t="str">
        <f t="shared" ref="A9:A72" si="0">B9&amp;"."&amp;D9&amp;"."&amp;E9&amp;"."&amp;F9</f>
        <v>Conwy.2011.Economic Impact.Indirect Expenditure</v>
      </c>
      <c r="B9" s="530" t="s">
        <v>219</v>
      </c>
      <c r="C9" s="530" t="str">
        <f t="shared" ref="C9:C72" si="1">D9&amp;"."&amp;E9&amp;"."&amp;F9</f>
        <v>2011.Economic Impact.Indirect Expenditure</v>
      </c>
      <c r="D9" s="530" t="s">
        <v>220</v>
      </c>
      <c r="E9" s="662" t="s">
        <v>17</v>
      </c>
      <c r="F9" s="662" t="s">
        <v>45</v>
      </c>
      <c r="G9" s="662" t="s">
        <v>45</v>
      </c>
      <c r="H9" s="530">
        <v>2630.807563424793</v>
      </c>
      <c r="I9" s="530">
        <v>5480.2911936291966</v>
      </c>
      <c r="J9" s="530">
        <v>8551.5059783019678</v>
      </c>
      <c r="K9" s="530">
        <v>17031.517640649745</v>
      </c>
      <c r="L9" s="530">
        <v>16404.716888733452</v>
      </c>
      <c r="M9" s="530">
        <v>16685.550642343271</v>
      </c>
      <c r="N9" s="530">
        <v>21620.936469452692</v>
      </c>
      <c r="O9" s="530">
        <v>25877.212525806317</v>
      </c>
      <c r="P9" s="530">
        <v>17393.80751427943</v>
      </c>
      <c r="Q9" s="530">
        <v>12632.249876736158</v>
      </c>
      <c r="R9" s="530">
        <v>4555.9529250697542</v>
      </c>
      <c r="S9" s="530">
        <v>3176.0231794746087</v>
      </c>
      <c r="T9" s="530">
        <v>152040.57239790139</v>
      </c>
      <c r="U9" s="530" t="s">
        <v>57</v>
      </c>
    </row>
    <row r="10" spans="1:21" ht="13.8" x14ac:dyDescent="0.3">
      <c r="A10" s="530" t="str">
        <f t="shared" si="0"/>
        <v>Conwy.2011.Economic Impact.Direct Revenue</v>
      </c>
      <c r="B10" s="530" t="s">
        <v>219</v>
      </c>
      <c r="C10" s="530" t="str">
        <f t="shared" si="1"/>
        <v>2011.Economic Impact.Direct Revenue</v>
      </c>
      <c r="D10" s="530" t="s">
        <v>220</v>
      </c>
      <c r="E10" s="662" t="s">
        <v>17</v>
      </c>
      <c r="F10" s="662" t="s">
        <v>46</v>
      </c>
      <c r="G10" s="662" t="s">
        <v>46</v>
      </c>
      <c r="H10" s="530">
        <v>7138.8215201146459</v>
      </c>
      <c r="I10" s="530">
        <v>14433.207116753516</v>
      </c>
      <c r="J10" s="530">
        <v>22474.384199616929</v>
      </c>
      <c r="K10" s="530">
        <v>43301.627563771704</v>
      </c>
      <c r="L10" s="530">
        <v>41858.506092429576</v>
      </c>
      <c r="M10" s="530">
        <v>42575.30181105723</v>
      </c>
      <c r="N10" s="530">
        <v>55168.478927844837</v>
      </c>
      <c r="O10" s="530">
        <v>65936.081042586695</v>
      </c>
      <c r="P10" s="530">
        <v>44720.545912260815</v>
      </c>
      <c r="Q10" s="530">
        <v>33139.975721947776</v>
      </c>
      <c r="R10" s="530">
        <v>12838.303865433019</v>
      </c>
      <c r="S10" s="530">
        <v>9025.360222819194</v>
      </c>
      <c r="T10" s="530">
        <v>392610.59399663599</v>
      </c>
      <c r="U10" s="530" t="s">
        <v>57</v>
      </c>
    </row>
    <row r="11" spans="1:21" ht="13.8" x14ac:dyDescent="0.3">
      <c r="A11" s="530" t="str">
        <f t="shared" si="0"/>
        <v>Conwy.2011.Economic Impact.VAT</v>
      </c>
      <c r="B11" s="530" t="s">
        <v>219</v>
      </c>
      <c r="C11" s="530" t="str">
        <f t="shared" si="1"/>
        <v>2011.Economic Impact.VAT</v>
      </c>
      <c r="D11" s="530" t="s">
        <v>220</v>
      </c>
      <c r="E11" s="662" t="s">
        <v>17</v>
      </c>
      <c r="F11" s="662" t="s">
        <v>47</v>
      </c>
      <c r="G11" s="662" t="s">
        <v>47</v>
      </c>
      <c r="H11" s="530">
        <v>1427.7643040229291</v>
      </c>
      <c r="I11" s="530">
        <v>2886.6414233507039</v>
      </c>
      <c r="J11" s="530">
        <v>4494.8768399233868</v>
      </c>
      <c r="K11" s="530">
        <v>8660.3255127543416</v>
      </c>
      <c r="L11" s="530">
        <v>8371.7012184859159</v>
      </c>
      <c r="M11" s="530">
        <v>8515.0603622114468</v>
      </c>
      <c r="N11" s="530">
        <v>11033.695785568967</v>
      </c>
      <c r="O11" s="530">
        <v>13187.21620851734</v>
      </c>
      <c r="P11" s="530">
        <v>8944.1091824521627</v>
      </c>
      <c r="Q11" s="530">
        <v>6627.9951443895561</v>
      </c>
      <c r="R11" s="530">
        <v>2567.660773086604</v>
      </c>
      <c r="S11" s="530">
        <v>1805.072044563839</v>
      </c>
      <c r="T11" s="530">
        <v>78522.118799327203</v>
      </c>
      <c r="U11" s="530" t="s">
        <v>57</v>
      </c>
    </row>
    <row r="12" spans="1:21" ht="13.8" x14ac:dyDescent="0.3">
      <c r="A12" s="530" t="str">
        <f t="shared" si="0"/>
        <v>Conwy.2011.Economic Impact.Serviced Accommodation</v>
      </c>
      <c r="B12" s="530" t="s">
        <v>219</v>
      </c>
      <c r="C12" s="530" t="str">
        <f t="shared" si="1"/>
        <v>2011.Economic Impact.Serviced Accommodation</v>
      </c>
      <c r="D12" s="530" t="s">
        <v>220</v>
      </c>
      <c r="E12" s="662" t="s">
        <v>17</v>
      </c>
      <c r="F12" s="662" t="s">
        <v>43</v>
      </c>
      <c r="G12" s="662" t="s">
        <v>43</v>
      </c>
      <c r="H12" s="530">
        <v>5154.1725559205242</v>
      </c>
      <c r="I12" s="530">
        <v>8841.1971165929244</v>
      </c>
      <c r="J12" s="530">
        <v>11129.355621504337</v>
      </c>
      <c r="K12" s="530">
        <v>14020.007018252882</v>
      </c>
      <c r="L12" s="530">
        <v>14786.765295279743</v>
      </c>
      <c r="M12" s="530">
        <v>14743.50705868863</v>
      </c>
      <c r="N12" s="530">
        <v>19349.671566159654</v>
      </c>
      <c r="O12" s="530">
        <v>23148.451641917389</v>
      </c>
      <c r="P12" s="530">
        <v>18493.701363647728</v>
      </c>
      <c r="Q12" s="530">
        <v>16882.362436332958</v>
      </c>
      <c r="R12" s="530">
        <v>12182.868798808186</v>
      </c>
      <c r="S12" s="530">
        <v>8804.6405979905649</v>
      </c>
      <c r="T12" s="530">
        <v>167536.70107109551</v>
      </c>
      <c r="U12" s="530" t="s">
        <v>57</v>
      </c>
    </row>
    <row r="13" spans="1:21" ht="13.8" x14ac:dyDescent="0.3">
      <c r="A13" s="530" t="str">
        <f t="shared" si="0"/>
        <v>Conwy.2011.Economic Impact.Non-Serviced Accommodation</v>
      </c>
      <c r="B13" s="530" t="s">
        <v>219</v>
      </c>
      <c r="C13" s="530" t="str">
        <f t="shared" si="1"/>
        <v>2011.Economic Impact.Non-Serviced Accommodation</v>
      </c>
      <c r="D13" s="530" t="s">
        <v>220</v>
      </c>
      <c r="E13" s="662" t="s">
        <v>17</v>
      </c>
      <c r="F13" s="662" t="s">
        <v>48</v>
      </c>
      <c r="G13" s="662" t="s">
        <v>48</v>
      </c>
      <c r="H13" s="530">
        <v>1767.673550684498</v>
      </c>
      <c r="I13" s="530">
        <v>2483.982303958911</v>
      </c>
      <c r="J13" s="530">
        <v>15774.987589237733</v>
      </c>
      <c r="K13" s="530">
        <v>23503.465324680132</v>
      </c>
      <c r="L13" s="530">
        <v>26527.381827263376</v>
      </c>
      <c r="M13" s="530">
        <v>26945.931836612952</v>
      </c>
      <c r="N13" s="530">
        <v>35654.208206939213</v>
      </c>
      <c r="O13" s="530">
        <v>37854.356771145671</v>
      </c>
      <c r="P13" s="530">
        <v>27799.847341585802</v>
      </c>
      <c r="Q13" s="530">
        <v>18938.148719289144</v>
      </c>
      <c r="R13" s="530">
        <v>3406.5857977631686</v>
      </c>
      <c r="S13" s="530">
        <v>2514.9279921652942</v>
      </c>
      <c r="T13" s="530">
        <v>223171.49726132586</v>
      </c>
      <c r="U13" s="530" t="s">
        <v>57</v>
      </c>
    </row>
    <row r="14" spans="1:21" ht="13.8" x14ac:dyDescent="0.3">
      <c r="A14" s="530" t="str">
        <f t="shared" si="0"/>
        <v>Conwy.2011.Economic Impact.SFR</v>
      </c>
      <c r="B14" s="530" t="s">
        <v>219</v>
      </c>
      <c r="C14" s="530" t="str">
        <f t="shared" si="1"/>
        <v>2011.Economic Impact.SFR</v>
      </c>
      <c r="D14" s="530" t="s">
        <v>220</v>
      </c>
      <c r="E14" s="662" t="s">
        <v>17</v>
      </c>
      <c r="F14" s="662" t="s">
        <v>18</v>
      </c>
      <c r="G14" s="662" t="s">
        <v>18</v>
      </c>
      <c r="H14" s="530">
        <v>1608.0941124441051</v>
      </c>
      <c r="I14" s="530">
        <v>540.31962178121921</v>
      </c>
      <c r="J14" s="530">
        <v>614.64930520085795</v>
      </c>
      <c r="K14" s="530">
        <v>1466.5818305490238</v>
      </c>
      <c r="L14" s="530">
        <v>943.41521263387506</v>
      </c>
      <c r="M14" s="530">
        <v>726.72989129573989</v>
      </c>
      <c r="N14" s="530">
        <v>1179.2690157923437</v>
      </c>
      <c r="O14" s="530">
        <v>1248.3670330328307</v>
      </c>
      <c r="P14" s="530">
        <v>643.01036767641654</v>
      </c>
      <c r="Q14" s="530">
        <v>642.37999478433846</v>
      </c>
      <c r="R14" s="530">
        <v>500.54609406676832</v>
      </c>
      <c r="S14" s="530">
        <v>1449.4288266829535</v>
      </c>
      <c r="T14" s="530">
        <v>11562.791305940473</v>
      </c>
      <c r="U14" s="530" t="s">
        <v>57</v>
      </c>
    </row>
    <row r="15" spans="1:21" ht="13.8" x14ac:dyDescent="0.3">
      <c r="A15" s="530" t="str">
        <f t="shared" si="0"/>
        <v>Conwy.2011.Economic Impact.Day Visitor</v>
      </c>
      <c r="B15" s="530" t="s">
        <v>219</v>
      </c>
      <c r="C15" s="530" t="str">
        <f t="shared" si="1"/>
        <v>2011.Economic Impact.Day Visitor</v>
      </c>
      <c r="D15" s="530" t="s">
        <v>220</v>
      </c>
      <c r="E15" s="662" t="s">
        <v>17</v>
      </c>
      <c r="F15" s="662" t="s">
        <v>71</v>
      </c>
      <c r="G15" s="662" t="s">
        <v>71</v>
      </c>
      <c r="H15" s="530">
        <v>2667.4531685132397</v>
      </c>
      <c r="I15" s="530">
        <v>10934.64069140036</v>
      </c>
      <c r="J15" s="530">
        <v>8001.7745018993537</v>
      </c>
      <c r="K15" s="530">
        <v>30003.416543693755</v>
      </c>
      <c r="L15" s="530">
        <v>24377.361864471935</v>
      </c>
      <c r="M15" s="530">
        <v>25359.744029014622</v>
      </c>
      <c r="N15" s="530">
        <v>31639.962393975271</v>
      </c>
      <c r="O15" s="530">
        <v>42749.334330814469</v>
      </c>
      <c r="P15" s="530">
        <v>24121.903536082453</v>
      </c>
      <c r="Q15" s="530">
        <v>15937.329592667051</v>
      </c>
      <c r="R15" s="530">
        <v>3871.9168729512548</v>
      </c>
      <c r="S15" s="530">
        <v>1237.458030018829</v>
      </c>
      <c r="T15" s="530">
        <v>220902.29555550261</v>
      </c>
      <c r="U15" s="530" t="s">
        <v>57</v>
      </c>
    </row>
    <row r="16" spans="1:21" ht="13.8" x14ac:dyDescent="0.3">
      <c r="A16" s="530" t="str">
        <f t="shared" si="0"/>
        <v>Conwy.2011.Economic Impact.Accommodation</v>
      </c>
      <c r="B16" s="530" t="s">
        <v>219</v>
      </c>
      <c r="C16" s="530" t="str">
        <f t="shared" si="1"/>
        <v>2011.Economic Impact.Accommodation</v>
      </c>
      <c r="D16" s="530" t="s">
        <v>220</v>
      </c>
      <c r="E16" s="662" t="s">
        <v>17</v>
      </c>
      <c r="F16" s="662" t="s">
        <v>23</v>
      </c>
      <c r="G16" s="662" t="s">
        <v>23</v>
      </c>
      <c r="H16" s="530">
        <v>2227.6359488962053</v>
      </c>
      <c r="I16" s="530">
        <v>3766.0329928499368</v>
      </c>
      <c r="J16" s="530">
        <v>5999.7067049607176</v>
      </c>
      <c r="K16" s="530">
        <v>7462.0519870115504</v>
      </c>
      <c r="L16" s="530">
        <v>7922.3044930161395</v>
      </c>
      <c r="M16" s="530">
        <v>7910.6330302055903</v>
      </c>
      <c r="N16" s="530">
        <v>12158.714906627269</v>
      </c>
      <c r="O16" s="530">
        <v>14111.759734546989</v>
      </c>
      <c r="P16" s="530">
        <v>11503.76568521099</v>
      </c>
      <c r="Q16" s="530">
        <v>8170.9381262754841</v>
      </c>
      <c r="R16" s="530">
        <v>5135.0368034661042</v>
      </c>
      <c r="S16" s="530">
        <v>3771.4276897048376</v>
      </c>
      <c r="T16" s="530">
        <v>90140.008102771826</v>
      </c>
      <c r="U16" s="530" t="s">
        <v>57</v>
      </c>
    </row>
    <row r="17" spans="1:21" ht="13.8" x14ac:dyDescent="0.3">
      <c r="A17" s="530" t="str">
        <f t="shared" si="0"/>
        <v>Conwy.2011.Economic Impact.Food &amp; Drink</v>
      </c>
      <c r="B17" s="530" t="s">
        <v>219</v>
      </c>
      <c r="C17" s="530" t="str">
        <f t="shared" si="1"/>
        <v>2011.Economic Impact.Food &amp; Drink</v>
      </c>
      <c r="D17" s="530" t="s">
        <v>220</v>
      </c>
      <c r="E17" s="662" t="s">
        <v>17</v>
      </c>
      <c r="F17" s="662" t="s">
        <v>49</v>
      </c>
      <c r="G17" s="662" t="s">
        <v>49</v>
      </c>
      <c r="H17" s="530">
        <v>1533.2159899537899</v>
      </c>
      <c r="I17" s="530">
        <v>2895.7842379644076</v>
      </c>
      <c r="J17" s="530">
        <v>5323.0613029835913</v>
      </c>
      <c r="K17" s="530">
        <v>10324.628653334283</v>
      </c>
      <c r="L17" s="530">
        <v>10113.208770747709</v>
      </c>
      <c r="M17" s="530">
        <v>10241.585388108804</v>
      </c>
      <c r="N17" s="530">
        <v>12824.580800160402</v>
      </c>
      <c r="O17" s="530">
        <v>15123.389918012217</v>
      </c>
      <c r="P17" s="530">
        <v>9866.4474947998115</v>
      </c>
      <c r="Q17" s="530">
        <v>7674.957701545185</v>
      </c>
      <c r="R17" s="530">
        <v>2398.911552985976</v>
      </c>
      <c r="S17" s="530">
        <v>1737.7042463785385</v>
      </c>
      <c r="T17" s="530">
        <v>90057.476056974701</v>
      </c>
      <c r="U17" s="530" t="s">
        <v>57</v>
      </c>
    </row>
    <row r="18" spans="1:21" ht="13.8" x14ac:dyDescent="0.3">
      <c r="A18" s="530" t="str">
        <f t="shared" si="0"/>
        <v>Conwy.2011.Economic Impact.Recreation</v>
      </c>
      <c r="B18" s="530" t="s">
        <v>219</v>
      </c>
      <c r="C18" s="530" t="str">
        <f t="shared" si="1"/>
        <v>2011.Economic Impact.Recreation</v>
      </c>
      <c r="D18" s="530" t="s">
        <v>220</v>
      </c>
      <c r="E18" s="662" t="s">
        <v>17</v>
      </c>
      <c r="F18" s="662" t="s">
        <v>50</v>
      </c>
      <c r="G18" s="662" t="s">
        <v>50</v>
      </c>
      <c r="H18" s="530">
        <v>440.94773393729326</v>
      </c>
      <c r="I18" s="530">
        <v>893.8398765348569</v>
      </c>
      <c r="J18" s="530">
        <v>1589.9519507044527</v>
      </c>
      <c r="K18" s="530">
        <v>3322.8830537307699</v>
      </c>
      <c r="L18" s="530">
        <v>3213.9863759187924</v>
      </c>
      <c r="M18" s="530">
        <v>3345.3741835445403</v>
      </c>
      <c r="N18" s="530">
        <v>3996.299191702145</v>
      </c>
      <c r="O18" s="530">
        <v>4674.3123551065464</v>
      </c>
      <c r="P18" s="530">
        <v>3181.8189839091392</v>
      </c>
      <c r="Q18" s="530">
        <v>2325.5467997006435</v>
      </c>
      <c r="R18" s="530">
        <v>752.61844608370723</v>
      </c>
      <c r="S18" s="530">
        <v>540.97031392326346</v>
      </c>
      <c r="T18" s="530">
        <v>28278.549264796151</v>
      </c>
      <c r="U18" s="530" t="s">
        <v>57</v>
      </c>
    </row>
    <row r="19" spans="1:21" ht="13.8" x14ac:dyDescent="0.3">
      <c r="A19" s="530" t="str">
        <f t="shared" si="0"/>
        <v>Conwy.2011.Economic Impact.Shopping</v>
      </c>
      <c r="B19" s="530" t="s">
        <v>219</v>
      </c>
      <c r="C19" s="530" t="str">
        <f t="shared" si="1"/>
        <v>2011.Economic Impact.Shopping</v>
      </c>
      <c r="D19" s="530" t="s">
        <v>220</v>
      </c>
      <c r="E19" s="662" t="s">
        <v>17</v>
      </c>
      <c r="F19" s="662" t="s">
        <v>51</v>
      </c>
      <c r="G19" s="662" t="s">
        <v>51</v>
      </c>
      <c r="H19" s="530">
        <v>2265.158629275847</v>
      </c>
      <c r="I19" s="530">
        <v>5421.6441946404566</v>
      </c>
      <c r="J19" s="530">
        <v>7178.3738254083382</v>
      </c>
      <c r="K19" s="530">
        <v>17138.572978784505</v>
      </c>
      <c r="L19" s="530">
        <v>15765.529676086051</v>
      </c>
      <c r="M19" s="530">
        <v>16106.595491934253</v>
      </c>
      <c r="N19" s="530">
        <v>20070.910799531244</v>
      </c>
      <c r="O19" s="530">
        <v>24733.329327536321</v>
      </c>
      <c r="P19" s="530">
        <v>15412.686941409636</v>
      </c>
      <c r="Q19" s="530">
        <v>11388.104324509181</v>
      </c>
      <c r="R19" s="530">
        <v>3433.2592761384194</v>
      </c>
      <c r="S19" s="530">
        <v>2216.827150468438</v>
      </c>
      <c r="T19" s="530">
        <v>141130.9926157227</v>
      </c>
      <c r="U19" s="530" t="s">
        <v>57</v>
      </c>
    </row>
    <row r="20" spans="1:21" ht="13.8" x14ac:dyDescent="0.3">
      <c r="A20" s="530" t="str">
        <f t="shared" si="0"/>
        <v>Conwy.2011.Economic Impact.Transport</v>
      </c>
      <c r="B20" s="530" t="s">
        <v>219</v>
      </c>
      <c r="C20" s="530" t="str">
        <f t="shared" si="1"/>
        <v>2011.Economic Impact.Transport</v>
      </c>
      <c r="D20" s="530" t="s">
        <v>220</v>
      </c>
      <c r="E20" s="662" t="s">
        <v>17</v>
      </c>
      <c r="F20" s="662" t="s">
        <v>52</v>
      </c>
      <c r="G20" s="662" t="s">
        <v>52</v>
      </c>
      <c r="H20" s="530">
        <v>671.86321805150988</v>
      </c>
      <c r="I20" s="530">
        <v>1455.9058147638591</v>
      </c>
      <c r="J20" s="530">
        <v>2383.2904155598294</v>
      </c>
      <c r="K20" s="530">
        <v>5053.4908909106007</v>
      </c>
      <c r="L20" s="530">
        <v>4843.4767766608793</v>
      </c>
      <c r="M20" s="530">
        <v>4971.1137172640474</v>
      </c>
      <c r="N20" s="530">
        <v>6117.9732298237732</v>
      </c>
      <c r="O20" s="530">
        <v>7293.2897073846234</v>
      </c>
      <c r="P20" s="530">
        <v>4755.8268069312362</v>
      </c>
      <c r="Q20" s="530">
        <v>3580.4287699172833</v>
      </c>
      <c r="R20" s="530">
        <v>1118.4777867588132</v>
      </c>
      <c r="S20" s="530">
        <v>758.43082234411656</v>
      </c>
      <c r="T20" s="530">
        <v>43003.567956370578</v>
      </c>
      <c r="U20" s="530" t="s">
        <v>57</v>
      </c>
    </row>
    <row r="21" spans="1:21" ht="13.8" x14ac:dyDescent="0.3">
      <c r="A21" s="530" t="str">
        <f t="shared" si="0"/>
        <v>Conwy.2011.Economic Impact.Direct Expenditure</v>
      </c>
      <c r="B21" s="530" t="s">
        <v>219</v>
      </c>
      <c r="C21" s="530" t="str">
        <f t="shared" si="1"/>
        <v>2011.Economic Impact.Direct Expenditure</v>
      </c>
      <c r="D21" s="530" t="s">
        <v>220</v>
      </c>
      <c r="E21" s="662" t="s">
        <v>17</v>
      </c>
      <c r="F21" s="662" t="s">
        <v>44</v>
      </c>
      <c r="G21" s="662" t="s">
        <v>44</v>
      </c>
      <c r="H21" s="530">
        <v>8566.5858241375736</v>
      </c>
      <c r="I21" s="530">
        <v>17319.84854010422</v>
      </c>
      <c r="J21" s="530">
        <v>26969.261039540317</v>
      </c>
      <c r="K21" s="530">
        <v>51961.95307652605</v>
      </c>
      <c r="L21" s="530">
        <v>50230.207310915473</v>
      </c>
      <c r="M21" s="530">
        <v>51090.362173268673</v>
      </c>
      <c r="N21" s="530">
        <v>66202.174713413784</v>
      </c>
      <c r="O21" s="530">
        <v>79123.297251104043</v>
      </c>
      <c r="P21" s="530">
        <v>53664.655094712965</v>
      </c>
      <c r="Q21" s="530">
        <v>39767.970866337331</v>
      </c>
      <c r="R21" s="530">
        <v>15405.964638519625</v>
      </c>
      <c r="S21" s="530">
        <v>10830.432267383032</v>
      </c>
      <c r="T21" s="530">
        <v>471132.71279596305</v>
      </c>
      <c r="U21" s="530" t="s">
        <v>57</v>
      </c>
    </row>
    <row r="22" spans="1:21" ht="13.8" x14ac:dyDescent="0.3">
      <c r="A22" s="530" t="str">
        <f t="shared" si="0"/>
        <v>Conwy.2011.Population.Total</v>
      </c>
      <c r="B22" s="530" t="s">
        <v>219</v>
      </c>
      <c r="C22" s="530" t="str">
        <f t="shared" si="1"/>
        <v>2011.Population.Total</v>
      </c>
      <c r="D22" s="530" t="s">
        <v>220</v>
      </c>
      <c r="E22" s="662" t="s">
        <v>19</v>
      </c>
      <c r="F22" s="662" t="s">
        <v>54</v>
      </c>
      <c r="G22" s="662" t="s">
        <v>54</v>
      </c>
      <c r="H22" s="530">
        <v>110900</v>
      </c>
      <c r="I22" s="530">
        <v>110900</v>
      </c>
      <c r="J22" s="530">
        <v>110900</v>
      </c>
      <c r="K22" s="530">
        <v>110900</v>
      </c>
      <c r="L22" s="530">
        <v>110900</v>
      </c>
      <c r="M22" s="530">
        <v>110900</v>
      </c>
      <c r="N22" s="530">
        <v>110900</v>
      </c>
      <c r="O22" s="530">
        <v>110900</v>
      </c>
      <c r="P22" s="530">
        <v>110900</v>
      </c>
      <c r="Q22" s="530">
        <v>110900</v>
      </c>
      <c r="R22" s="530">
        <v>110900</v>
      </c>
      <c r="S22" s="530">
        <v>110900</v>
      </c>
      <c r="T22" s="530">
        <v>110900</v>
      </c>
      <c r="U22" s="530" t="s">
        <v>60</v>
      </c>
    </row>
    <row r="23" spans="1:21" ht="13.8" x14ac:dyDescent="0.3">
      <c r="A23" s="530" t="str">
        <f t="shared" si="0"/>
        <v>Conwy.2011.Employment.Serviced Accommodation</v>
      </c>
      <c r="B23" s="530" t="s">
        <v>219</v>
      </c>
      <c r="C23" s="530" t="str">
        <f t="shared" si="1"/>
        <v>2011.Employment.Serviced Accommodation</v>
      </c>
      <c r="D23" s="530" t="s">
        <v>220</v>
      </c>
      <c r="E23" s="662" t="s">
        <v>20</v>
      </c>
      <c r="F23" s="662" t="s">
        <v>43</v>
      </c>
      <c r="G23" s="662" t="s">
        <v>43</v>
      </c>
      <c r="H23" s="530">
        <v>2151.7469240850382</v>
      </c>
      <c r="I23" s="530">
        <v>2639.197089463345</v>
      </c>
      <c r="J23" s="530">
        <v>3090.0080285588529</v>
      </c>
      <c r="K23" s="530">
        <v>3364.9628561330328</v>
      </c>
      <c r="L23" s="530">
        <v>3411.1317808390622</v>
      </c>
      <c r="M23" s="530">
        <v>3414.6699576216074</v>
      </c>
      <c r="N23" s="530">
        <v>3476.8631313901124</v>
      </c>
      <c r="O23" s="530">
        <v>3715.439903431422</v>
      </c>
      <c r="P23" s="530">
        <v>3465.0503980563726</v>
      </c>
      <c r="Q23" s="530">
        <v>3541.7072532679422</v>
      </c>
      <c r="R23" s="530">
        <v>3029.4758342589789</v>
      </c>
      <c r="S23" s="530">
        <v>2673.5562650477591</v>
      </c>
      <c r="T23" s="530">
        <v>3164.4841185127939</v>
      </c>
      <c r="U23" s="530" t="s">
        <v>59</v>
      </c>
    </row>
    <row r="24" spans="1:21" ht="13.8" x14ac:dyDescent="0.3">
      <c r="A24" s="530" t="str">
        <f t="shared" si="0"/>
        <v>Conwy.2011.Employment.Non-Serviced Accommodation</v>
      </c>
      <c r="B24" s="530" t="s">
        <v>219</v>
      </c>
      <c r="C24" s="530" t="str">
        <f t="shared" si="1"/>
        <v>2011.Employment.Non-Serviced Accommodation</v>
      </c>
      <c r="D24" s="530" t="s">
        <v>220</v>
      </c>
      <c r="E24" s="662" t="s">
        <v>20</v>
      </c>
      <c r="F24" s="662" t="s">
        <v>48</v>
      </c>
      <c r="G24" s="662" t="s">
        <v>48</v>
      </c>
      <c r="H24" s="530">
        <v>524.79047443799266</v>
      </c>
      <c r="I24" s="530">
        <v>611.5618200238664</v>
      </c>
      <c r="J24" s="530">
        <v>2635.844347174263</v>
      </c>
      <c r="K24" s="530">
        <v>3666.263144349603</v>
      </c>
      <c r="L24" s="530">
        <v>4071.4085460641954</v>
      </c>
      <c r="M24" s="530">
        <v>4132.0083922685917</v>
      </c>
      <c r="N24" s="530">
        <v>5039.2088607350806</v>
      </c>
      <c r="O24" s="530">
        <v>5276.990014243107</v>
      </c>
      <c r="P24" s="530">
        <v>3973.6819664821969</v>
      </c>
      <c r="Q24" s="530">
        <v>3109.2511148978688</v>
      </c>
      <c r="R24" s="530">
        <v>753.50588392574161</v>
      </c>
      <c r="S24" s="530">
        <v>624.04753842469802</v>
      </c>
      <c r="T24" s="530">
        <v>2868.2135085856003</v>
      </c>
      <c r="U24" s="530" t="s">
        <v>59</v>
      </c>
    </row>
    <row r="25" spans="1:21" ht="13.8" x14ac:dyDescent="0.3">
      <c r="A25" s="530" t="str">
        <f t="shared" si="0"/>
        <v>Conwy.2011.Employment.SFR</v>
      </c>
      <c r="B25" s="530" t="s">
        <v>219</v>
      </c>
      <c r="C25" s="530" t="str">
        <f t="shared" si="1"/>
        <v>2011.Employment.SFR</v>
      </c>
      <c r="D25" s="530" t="s">
        <v>220</v>
      </c>
      <c r="E25" s="662" t="s">
        <v>20</v>
      </c>
      <c r="F25" s="662" t="s">
        <v>18</v>
      </c>
      <c r="G25" s="662" t="s">
        <v>18</v>
      </c>
      <c r="H25" s="530">
        <v>239.14631963196035</v>
      </c>
      <c r="I25" s="530">
        <v>80.353163396338658</v>
      </c>
      <c r="J25" s="530">
        <v>91.407037725993746</v>
      </c>
      <c r="K25" s="530">
        <v>218.1014435043478</v>
      </c>
      <c r="L25" s="530">
        <v>140.29917418408343</v>
      </c>
      <c r="M25" s="530">
        <v>108.07500476807553</v>
      </c>
      <c r="N25" s="530">
        <v>175.37396773010428</v>
      </c>
      <c r="O25" s="530">
        <v>185.6498193665567</v>
      </c>
      <c r="P25" s="530">
        <v>95.624728506276185</v>
      </c>
      <c r="Q25" s="530">
        <v>95.530983148980425</v>
      </c>
      <c r="R25" s="530">
        <v>74.438277757441512</v>
      </c>
      <c r="S25" s="530">
        <v>215.55054942827365</v>
      </c>
      <c r="T25" s="530">
        <v>143.295872429036</v>
      </c>
      <c r="U25" s="530" t="s">
        <v>59</v>
      </c>
    </row>
    <row r="26" spans="1:21" ht="13.8" x14ac:dyDescent="0.3">
      <c r="A26" s="530" t="str">
        <f t="shared" si="0"/>
        <v>Conwy.2011.Employment.Day Visitor</v>
      </c>
      <c r="B26" s="530" t="s">
        <v>219</v>
      </c>
      <c r="C26" s="530" t="str">
        <f t="shared" si="1"/>
        <v>2011.Employment.Day Visitor</v>
      </c>
      <c r="D26" s="530" t="s">
        <v>220</v>
      </c>
      <c r="E26" s="662" t="s">
        <v>20</v>
      </c>
      <c r="F26" s="662" t="s">
        <v>71</v>
      </c>
      <c r="G26" s="662" t="s">
        <v>71</v>
      </c>
      <c r="H26" s="530">
        <v>377.46576911051972</v>
      </c>
      <c r="I26" s="530">
        <v>1547.3383402742711</v>
      </c>
      <c r="J26" s="530">
        <v>1132.3145246789338</v>
      </c>
      <c r="K26" s="530">
        <v>4245.7212877409293</v>
      </c>
      <c r="L26" s="530">
        <v>3449.5899510719678</v>
      </c>
      <c r="M26" s="530">
        <v>3588.6048150166062</v>
      </c>
      <c r="N26" s="530">
        <v>4477.3054989851898</v>
      </c>
      <c r="O26" s="530">
        <v>6049.3696956402764</v>
      </c>
      <c r="P26" s="530">
        <v>3413.4405725038823</v>
      </c>
      <c r="Q26" s="530">
        <v>2255.2584777400016</v>
      </c>
      <c r="R26" s="530">
        <v>547.90693146269939</v>
      </c>
      <c r="S26" s="530">
        <v>175.11012097857849</v>
      </c>
      <c r="T26" s="530">
        <v>2604.9521654336545</v>
      </c>
      <c r="U26" s="530" t="s">
        <v>59</v>
      </c>
    </row>
    <row r="27" spans="1:21" ht="13.8" x14ac:dyDescent="0.3">
      <c r="A27" s="530" t="str">
        <f t="shared" si="0"/>
        <v>Conwy.2011.Employment.Direct Employment</v>
      </c>
      <c r="B27" s="530" t="s">
        <v>219</v>
      </c>
      <c r="C27" s="530" t="str">
        <f t="shared" si="1"/>
        <v>2011.Employment.Direct Employment</v>
      </c>
      <c r="D27" s="530" t="s">
        <v>220</v>
      </c>
      <c r="E27" s="662" t="s">
        <v>20</v>
      </c>
      <c r="F27" s="662" t="s">
        <v>55</v>
      </c>
      <c r="G27" s="662" t="s">
        <v>55</v>
      </c>
      <c r="H27" s="530">
        <v>3293.1494872655112</v>
      </c>
      <c r="I27" s="530">
        <v>4878.4504131578215</v>
      </c>
      <c r="J27" s="530">
        <v>6949.5739381380436</v>
      </c>
      <c r="K27" s="530">
        <v>11495.048731727913</v>
      </c>
      <c r="L27" s="530">
        <v>11072.429452159309</v>
      </c>
      <c r="M27" s="530">
        <v>11243.358169674881</v>
      </c>
      <c r="N27" s="530">
        <v>13168.751458840487</v>
      </c>
      <c r="O27" s="530">
        <v>15227.449432681364</v>
      </c>
      <c r="P27" s="530">
        <v>10947.797665548729</v>
      </c>
      <c r="Q27" s="530">
        <v>9001.7478290547933</v>
      </c>
      <c r="R27" s="530">
        <v>4405.3269274048616</v>
      </c>
      <c r="S27" s="530">
        <v>3688.2644738793092</v>
      </c>
      <c r="T27" s="530">
        <v>8780.9456649610856</v>
      </c>
      <c r="U27" s="530" t="s">
        <v>59</v>
      </c>
    </row>
    <row r="28" spans="1:21" ht="13.8" x14ac:dyDescent="0.3">
      <c r="A28" s="530" t="str">
        <f t="shared" si="0"/>
        <v>Conwy.2011.Employment.Indirect Employment</v>
      </c>
      <c r="B28" s="530" t="s">
        <v>219</v>
      </c>
      <c r="C28" s="530" t="str">
        <f t="shared" si="1"/>
        <v>2011.Employment.Indirect Employment</v>
      </c>
      <c r="D28" s="530" t="s">
        <v>220</v>
      </c>
      <c r="E28" s="662" t="s">
        <v>20</v>
      </c>
      <c r="F28" s="662" t="s">
        <v>53</v>
      </c>
      <c r="G28" s="662" t="s">
        <v>53</v>
      </c>
      <c r="H28" s="530">
        <v>436.03614545264395</v>
      </c>
      <c r="I28" s="530">
        <v>908.31616924399771</v>
      </c>
      <c r="J28" s="530">
        <v>1417.3464286912392</v>
      </c>
      <c r="K28" s="530">
        <v>2822.8432236867861</v>
      </c>
      <c r="L28" s="530">
        <v>2718.9558137400827</v>
      </c>
      <c r="M28" s="530">
        <v>2765.5018512152124</v>
      </c>
      <c r="N28" s="530">
        <v>3583.5041415738842</v>
      </c>
      <c r="O28" s="530">
        <v>4288.9492039177121</v>
      </c>
      <c r="P28" s="530">
        <v>2882.88998736127</v>
      </c>
      <c r="Q28" s="530">
        <v>2093.6983841859519</v>
      </c>
      <c r="R28" s="530">
        <v>755.11420140704013</v>
      </c>
      <c r="S28" s="530">
        <v>526.40144581443394</v>
      </c>
      <c r="T28" s="530">
        <v>2099.9630830241881</v>
      </c>
      <c r="U28" s="530" t="s">
        <v>59</v>
      </c>
    </row>
    <row r="29" spans="1:21" ht="13.8" x14ac:dyDescent="0.3">
      <c r="A29" s="530" t="str">
        <f t="shared" si="0"/>
        <v>Conwy.2011.Employment.Total</v>
      </c>
      <c r="B29" s="530" t="s">
        <v>219</v>
      </c>
      <c r="C29" s="530" t="str">
        <f t="shared" si="1"/>
        <v>2011.Employment.Total</v>
      </c>
      <c r="D29" s="530" t="s">
        <v>220</v>
      </c>
      <c r="E29" s="662" t="s">
        <v>20</v>
      </c>
      <c r="F29" s="662" t="s">
        <v>54</v>
      </c>
      <c r="G29" s="662" t="s">
        <v>54</v>
      </c>
      <c r="H29" s="530">
        <v>3729.1856327181549</v>
      </c>
      <c r="I29" s="530">
        <v>5786.7665824018195</v>
      </c>
      <c r="J29" s="530">
        <v>8366.920366829283</v>
      </c>
      <c r="K29" s="530">
        <v>14317.8919554147</v>
      </c>
      <c r="L29" s="530">
        <v>13791.385265899393</v>
      </c>
      <c r="M29" s="530">
        <v>14008.860020890093</v>
      </c>
      <c r="N29" s="530">
        <v>16752.25560041437</v>
      </c>
      <c r="O29" s="530">
        <v>19516.398636599075</v>
      </c>
      <c r="P29" s="530">
        <v>13830.687652909999</v>
      </c>
      <c r="Q29" s="530">
        <v>11095.446213240746</v>
      </c>
      <c r="R29" s="530">
        <v>5160.4411288119018</v>
      </c>
      <c r="S29" s="530">
        <v>4214.6659196937435</v>
      </c>
      <c r="T29" s="530">
        <v>10880.908747985273</v>
      </c>
      <c r="U29" s="530" t="s">
        <v>59</v>
      </c>
    </row>
    <row r="30" spans="1:21" ht="13.8" x14ac:dyDescent="0.3">
      <c r="A30" s="530" t="str">
        <f t="shared" si="0"/>
        <v>Conwy.2011.Employment.Accommodation</v>
      </c>
      <c r="B30" s="530" t="s">
        <v>219</v>
      </c>
      <c r="C30" s="530" t="str">
        <f t="shared" si="1"/>
        <v>2011.Employment.Accommodation</v>
      </c>
      <c r="D30" s="530" t="s">
        <v>220</v>
      </c>
      <c r="E30" s="662" t="s">
        <v>20</v>
      </c>
      <c r="F30" s="662" t="s">
        <v>23</v>
      </c>
      <c r="G30" s="662" t="s">
        <v>23</v>
      </c>
      <c r="H30" s="530">
        <v>2155.8000000000002</v>
      </c>
      <c r="I30" s="530">
        <v>2422.5</v>
      </c>
      <c r="J30" s="530">
        <v>3137.1</v>
      </c>
      <c r="K30" s="530">
        <v>3224.6</v>
      </c>
      <c r="L30" s="530">
        <v>3235.3</v>
      </c>
      <c r="M30" s="530">
        <v>3238</v>
      </c>
      <c r="N30" s="530">
        <v>3239.55</v>
      </c>
      <c r="O30" s="530">
        <v>3272.3500000000004</v>
      </c>
      <c r="P30" s="530">
        <v>3276.55</v>
      </c>
      <c r="Q30" s="530">
        <v>3235.2</v>
      </c>
      <c r="R30" s="530">
        <v>2624.5</v>
      </c>
      <c r="S30" s="530">
        <v>2468.6999999999998</v>
      </c>
      <c r="T30" s="530">
        <v>2960.8458333333328</v>
      </c>
      <c r="U30" s="530" t="s">
        <v>59</v>
      </c>
    </row>
    <row r="31" spans="1:21" ht="13.8" x14ac:dyDescent="0.3">
      <c r="A31" s="530" t="str">
        <f t="shared" si="0"/>
        <v>Conwy.2011.Employment.Food &amp; Drink</v>
      </c>
      <c r="B31" s="530" t="s">
        <v>219</v>
      </c>
      <c r="C31" s="530" t="str">
        <f t="shared" si="1"/>
        <v>2011.Employment.Food &amp; Drink</v>
      </c>
      <c r="D31" s="530" t="s">
        <v>220</v>
      </c>
      <c r="E31" s="662" t="s">
        <v>20</v>
      </c>
      <c r="F31" s="662" t="s">
        <v>49</v>
      </c>
      <c r="G31" s="662" t="s">
        <v>49</v>
      </c>
      <c r="H31" s="530">
        <v>393.3262115769013</v>
      </c>
      <c r="I31" s="530">
        <v>742.87500999580163</v>
      </c>
      <c r="J31" s="530">
        <v>1365.5607233506889</v>
      </c>
      <c r="K31" s="530">
        <v>2648.6464403992368</v>
      </c>
      <c r="L31" s="530">
        <v>2594.4094757349717</v>
      </c>
      <c r="M31" s="530">
        <v>2627.3427929535187</v>
      </c>
      <c r="N31" s="530">
        <v>3289.9759813625392</v>
      </c>
      <c r="O31" s="530">
        <v>3879.7049480493165</v>
      </c>
      <c r="P31" s="530">
        <v>2531.1061456963944</v>
      </c>
      <c r="Q31" s="530">
        <v>1968.9085272667376</v>
      </c>
      <c r="R31" s="530">
        <v>615.40891774320266</v>
      </c>
      <c r="S31" s="530">
        <v>445.78495955404475</v>
      </c>
      <c r="T31" s="530">
        <v>1925.2541778069462</v>
      </c>
      <c r="U31" s="530" t="s">
        <v>59</v>
      </c>
    </row>
    <row r="32" spans="1:21" ht="13.8" x14ac:dyDescent="0.3">
      <c r="A32" s="530" t="str">
        <f t="shared" si="0"/>
        <v>Conwy.2011.Employment.Recreation</v>
      </c>
      <c r="B32" s="530" t="s">
        <v>219</v>
      </c>
      <c r="C32" s="530" t="str">
        <f t="shared" si="1"/>
        <v>2011.Employment.Recreation</v>
      </c>
      <c r="D32" s="530" t="s">
        <v>220</v>
      </c>
      <c r="E32" s="662" t="s">
        <v>20</v>
      </c>
      <c r="F32" s="662" t="s">
        <v>50</v>
      </c>
      <c r="G32" s="662" t="s">
        <v>50</v>
      </c>
      <c r="H32" s="530">
        <v>137.27159021441537</v>
      </c>
      <c r="I32" s="530">
        <v>278.26159838355215</v>
      </c>
      <c r="J32" s="530">
        <v>494.96848682921188</v>
      </c>
      <c r="K32" s="530">
        <v>1034.4478625827846</v>
      </c>
      <c r="L32" s="530">
        <v>1000.5472004819952</v>
      </c>
      <c r="M32" s="530">
        <v>1041.4495839153501</v>
      </c>
      <c r="N32" s="530">
        <v>1244.0892713501255</v>
      </c>
      <c r="O32" s="530">
        <v>1455.1617816809398</v>
      </c>
      <c r="P32" s="530">
        <v>990.53315864808587</v>
      </c>
      <c r="Q32" s="530">
        <v>723.96677144132786</v>
      </c>
      <c r="R32" s="530">
        <v>234.29790645733263</v>
      </c>
      <c r="S32" s="530">
        <v>168.40965387883881</v>
      </c>
      <c r="T32" s="530">
        <v>733.61707215532988</v>
      </c>
      <c r="U32" s="530" t="s">
        <v>59</v>
      </c>
    </row>
    <row r="33" spans="1:21" ht="13.8" x14ac:dyDescent="0.3">
      <c r="A33" s="530" t="str">
        <f t="shared" si="0"/>
        <v>Conwy.2011.Employment.Shopping</v>
      </c>
      <c r="B33" s="530" t="s">
        <v>219</v>
      </c>
      <c r="C33" s="530" t="str">
        <f t="shared" si="1"/>
        <v>2011.Employment.Shopping</v>
      </c>
      <c r="D33" s="530" t="s">
        <v>220</v>
      </c>
      <c r="E33" s="662" t="s">
        <v>20</v>
      </c>
      <c r="F33" s="662" t="s">
        <v>51</v>
      </c>
      <c r="G33" s="662" t="s">
        <v>51</v>
      </c>
      <c r="H33" s="530">
        <v>529.7502652134317</v>
      </c>
      <c r="I33" s="530">
        <v>1267.95422310968</v>
      </c>
      <c r="J33" s="530">
        <v>1678.798733414503</v>
      </c>
      <c r="K33" s="530">
        <v>4008.1800292253183</v>
      </c>
      <c r="L33" s="530">
        <v>3687.0678367487294</v>
      </c>
      <c r="M33" s="530">
        <v>3766.8325402293781</v>
      </c>
      <c r="N33" s="530">
        <v>4693.9627899375664</v>
      </c>
      <c r="O33" s="530">
        <v>5784.3577052536384</v>
      </c>
      <c r="P33" s="530">
        <v>3604.5488776534808</v>
      </c>
      <c r="Q33" s="530">
        <v>2663.3239757321639</v>
      </c>
      <c r="R33" s="530">
        <v>802.93273441173892</v>
      </c>
      <c r="S33" s="530">
        <v>518.44703311945364</v>
      </c>
      <c r="T33" s="530">
        <v>2750.5130620040904</v>
      </c>
      <c r="U33" s="530" t="s">
        <v>59</v>
      </c>
    </row>
    <row r="34" spans="1:21" ht="13.8" x14ac:dyDescent="0.3">
      <c r="A34" s="530" t="str">
        <f t="shared" si="0"/>
        <v>Conwy.2011.Employment.Transport</v>
      </c>
      <c r="B34" s="530" t="s">
        <v>219</v>
      </c>
      <c r="C34" s="530" t="str">
        <f t="shared" si="1"/>
        <v>2011.Employment.Transport</v>
      </c>
      <c r="D34" s="530" t="s">
        <v>220</v>
      </c>
      <c r="E34" s="662" t="s">
        <v>20</v>
      </c>
      <c r="F34" s="662" t="s">
        <v>52</v>
      </c>
      <c r="G34" s="662" t="s">
        <v>52</v>
      </c>
      <c r="H34" s="530">
        <v>77.001420260762686</v>
      </c>
      <c r="I34" s="530">
        <v>166.85958166878709</v>
      </c>
      <c r="J34" s="530">
        <v>273.14599454364003</v>
      </c>
      <c r="K34" s="530">
        <v>579.17439952057316</v>
      </c>
      <c r="L34" s="530">
        <v>555.10493919361295</v>
      </c>
      <c r="M34" s="530">
        <v>569.73325257663419</v>
      </c>
      <c r="N34" s="530">
        <v>701.17341619025592</v>
      </c>
      <c r="O34" s="530">
        <v>835.87499769746648</v>
      </c>
      <c r="P34" s="530">
        <v>545.05948355076828</v>
      </c>
      <c r="Q34" s="530">
        <v>410.34855461456334</v>
      </c>
      <c r="R34" s="530">
        <v>128.18736879258682</v>
      </c>
      <c r="S34" s="530">
        <v>86.92282732697204</v>
      </c>
      <c r="T34" s="530">
        <v>410.71551966138526</v>
      </c>
      <c r="U34" s="530" t="s">
        <v>59</v>
      </c>
    </row>
    <row r="35" spans="1:21" ht="13.8" x14ac:dyDescent="0.3">
      <c r="A35" s="530" t="str">
        <f t="shared" si="0"/>
        <v>Conwy.2011.Visitor Days.Serviced Accommodation</v>
      </c>
      <c r="B35" s="530" t="s">
        <v>219</v>
      </c>
      <c r="C35" s="530" t="str">
        <f t="shared" si="1"/>
        <v>2011.Visitor Days.Serviced Accommodation</v>
      </c>
      <c r="D35" s="530" t="s">
        <v>220</v>
      </c>
      <c r="E35" s="662" t="s">
        <v>171</v>
      </c>
      <c r="F35" s="662" t="s">
        <v>43</v>
      </c>
      <c r="G35" s="662" t="s">
        <v>43</v>
      </c>
      <c r="H35" s="530">
        <v>66.960886599999995</v>
      </c>
      <c r="I35" s="530">
        <v>114.8270928</v>
      </c>
      <c r="J35" s="530">
        <v>144.03733360000001</v>
      </c>
      <c r="K35" s="530">
        <v>183.45414</v>
      </c>
      <c r="L35" s="530">
        <v>193.3299035</v>
      </c>
      <c r="M35" s="530">
        <v>192.910494</v>
      </c>
      <c r="N35" s="530">
        <v>206.86195219999996</v>
      </c>
      <c r="O35" s="530">
        <v>248.48248090000001</v>
      </c>
      <c r="P35" s="530">
        <v>195.52885499999999</v>
      </c>
      <c r="Q35" s="530">
        <v>220.05390299999999</v>
      </c>
      <c r="R35" s="530">
        <v>159.12534600000001</v>
      </c>
      <c r="S35" s="530">
        <v>114.6251846</v>
      </c>
      <c r="T35" s="530">
        <v>2040.1975722</v>
      </c>
      <c r="U35" s="530" t="s">
        <v>61</v>
      </c>
    </row>
    <row r="36" spans="1:21" ht="13.8" x14ac:dyDescent="0.3">
      <c r="A36" s="530" t="str">
        <f t="shared" si="0"/>
        <v>Conwy.2011.Visitor Days.Non-Serviced Accommodation</v>
      </c>
      <c r="B36" s="530" t="s">
        <v>219</v>
      </c>
      <c r="C36" s="530" t="str">
        <f t="shared" si="1"/>
        <v>2011.Visitor Days.Non-Serviced Accommodation</v>
      </c>
      <c r="D36" s="530" t="s">
        <v>220</v>
      </c>
      <c r="E36" s="662" t="s">
        <v>171</v>
      </c>
      <c r="F36" s="662" t="s">
        <v>48</v>
      </c>
      <c r="G36" s="662" t="s">
        <v>48</v>
      </c>
      <c r="H36" s="530">
        <v>49.786717140931799</v>
      </c>
      <c r="I36" s="530">
        <v>64.585189242294319</v>
      </c>
      <c r="J36" s="530">
        <v>474.10370296269224</v>
      </c>
      <c r="K36" s="530">
        <v>672.31257442046672</v>
      </c>
      <c r="L36" s="530">
        <v>776.38127510693596</v>
      </c>
      <c r="M36" s="530">
        <v>777.91521439808457</v>
      </c>
      <c r="N36" s="530">
        <v>1010.4900242899979</v>
      </c>
      <c r="O36" s="530">
        <v>1070.3256287914121</v>
      </c>
      <c r="P36" s="530">
        <v>749.30405872280176</v>
      </c>
      <c r="Q36" s="530">
        <v>572.21954073649897</v>
      </c>
      <c r="R36" s="530">
        <v>98.735342574315297</v>
      </c>
      <c r="S36" s="530">
        <v>68.748280851830714</v>
      </c>
      <c r="T36" s="530">
        <v>6384.9075492382617</v>
      </c>
      <c r="U36" s="530" t="s">
        <v>61</v>
      </c>
    </row>
    <row r="37" spans="1:21" ht="13.8" x14ac:dyDescent="0.3">
      <c r="A37" s="530" t="str">
        <f t="shared" si="0"/>
        <v>Conwy.2011.Visitor Days.SFR</v>
      </c>
      <c r="B37" s="530" t="s">
        <v>219</v>
      </c>
      <c r="C37" s="530" t="str">
        <f t="shared" si="1"/>
        <v>2011.Visitor Days.SFR</v>
      </c>
      <c r="D37" s="530" t="s">
        <v>220</v>
      </c>
      <c r="E37" s="662" t="s">
        <v>171</v>
      </c>
      <c r="F37" s="662" t="s">
        <v>18</v>
      </c>
      <c r="G37" s="662" t="s">
        <v>18</v>
      </c>
      <c r="H37" s="530">
        <v>56.710227272727273</v>
      </c>
      <c r="I37" s="530">
        <v>19.054636363636359</v>
      </c>
      <c r="J37" s="530">
        <v>21.675909090909091</v>
      </c>
      <c r="K37" s="530">
        <v>51.719727272727269</v>
      </c>
      <c r="L37" s="530">
        <v>33.270000000000003</v>
      </c>
      <c r="M37" s="530">
        <v>25.628485909090909</v>
      </c>
      <c r="N37" s="530">
        <v>41.587499999999999</v>
      </c>
      <c r="O37" s="530">
        <v>44.024275454545453</v>
      </c>
      <c r="P37" s="530">
        <v>22.676075863636363</v>
      </c>
      <c r="Q37" s="530">
        <v>22.653845454545454</v>
      </c>
      <c r="R37" s="530">
        <v>17.652003409090902</v>
      </c>
      <c r="S37" s="530">
        <v>51.114818181818187</v>
      </c>
      <c r="T37" s="530">
        <v>407.76750427272725</v>
      </c>
      <c r="U37" s="530" t="s">
        <v>61</v>
      </c>
    </row>
    <row r="38" spans="1:21" ht="13.8" x14ac:dyDescent="0.3">
      <c r="A38" s="530" t="str">
        <f t="shared" si="0"/>
        <v>Conwy.2011.Visitor Days.Day Visitor</v>
      </c>
      <c r="B38" s="530" t="s">
        <v>219</v>
      </c>
      <c r="C38" s="530" t="str">
        <f t="shared" si="1"/>
        <v>2011.Visitor Days.Day Visitor</v>
      </c>
      <c r="D38" s="530" t="s">
        <v>220</v>
      </c>
      <c r="E38" s="662" t="s">
        <v>171</v>
      </c>
      <c r="F38" s="662" t="s">
        <v>71</v>
      </c>
      <c r="G38" s="662" t="s">
        <v>71</v>
      </c>
      <c r="H38" s="530">
        <v>67.614719036455611</v>
      </c>
      <c r="I38" s="530">
        <v>277.17174825817767</v>
      </c>
      <c r="J38" s="530">
        <v>202.82932841162415</v>
      </c>
      <c r="K38" s="530">
        <v>760.52790867414558</v>
      </c>
      <c r="L38" s="530">
        <v>617.91842974884321</v>
      </c>
      <c r="M38" s="530">
        <v>642.81989562125125</v>
      </c>
      <c r="N38" s="530">
        <v>802.01114413006087</v>
      </c>
      <c r="O38" s="530">
        <v>1083.6119876041153</v>
      </c>
      <c r="P38" s="530">
        <v>611.44306092007957</v>
      </c>
      <c r="Q38" s="530">
        <v>403.98012430718461</v>
      </c>
      <c r="R38" s="530">
        <v>98.145517449901391</v>
      </c>
      <c r="S38" s="530">
        <v>31.367140014594668</v>
      </c>
      <c r="T38" s="530">
        <v>5599.4410041764349</v>
      </c>
      <c r="U38" s="530" t="s">
        <v>61</v>
      </c>
    </row>
    <row r="39" spans="1:21" ht="13.8" x14ac:dyDescent="0.3">
      <c r="A39" s="530" t="str">
        <f t="shared" si="0"/>
        <v>Conwy.2011.Visitor Days.Total</v>
      </c>
      <c r="B39" s="530" t="s">
        <v>219</v>
      </c>
      <c r="C39" s="530" t="str">
        <f t="shared" si="1"/>
        <v>2011.Visitor Days.Total</v>
      </c>
      <c r="D39" s="530" t="s">
        <v>220</v>
      </c>
      <c r="E39" s="662" t="s">
        <v>171</v>
      </c>
      <c r="F39" s="662" t="s">
        <v>54</v>
      </c>
      <c r="G39" s="662" t="s">
        <v>54</v>
      </c>
      <c r="H39" s="530">
        <v>241.07255005011467</v>
      </c>
      <c r="I39" s="530">
        <v>475.63866666410831</v>
      </c>
      <c r="J39" s="530">
        <v>842.6462740652255</v>
      </c>
      <c r="K39" s="530">
        <v>1668.0143503673396</v>
      </c>
      <c r="L39" s="530">
        <v>1620.899608355779</v>
      </c>
      <c r="M39" s="530">
        <v>1639.2740899284267</v>
      </c>
      <c r="N39" s="530">
        <v>2060.950620620059</v>
      </c>
      <c r="O39" s="530">
        <v>2446.4443727500729</v>
      </c>
      <c r="P39" s="530">
        <v>1578.9520505065177</v>
      </c>
      <c r="Q39" s="530">
        <v>1218.9074134982291</v>
      </c>
      <c r="R39" s="530">
        <v>373.6582094333076</v>
      </c>
      <c r="S39" s="530">
        <v>265.85542364824357</v>
      </c>
      <c r="T39" s="530">
        <v>14432.313629887423</v>
      </c>
      <c r="U39" s="530" t="s">
        <v>61</v>
      </c>
    </row>
    <row r="40" spans="1:21" ht="13.8" x14ac:dyDescent="0.3">
      <c r="A40" s="530" t="str">
        <f t="shared" si="0"/>
        <v>Conwy.2011.Visitor Numbers.Serviced Accommodation</v>
      </c>
      <c r="B40" s="530" t="s">
        <v>219</v>
      </c>
      <c r="C40" s="530" t="str">
        <f t="shared" si="1"/>
        <v>2011.Visitor Numbers.Serviced Accommodation</v>
      </c>
      <c r="D40" s="530" t="s">
        <v>220</v>
      </c>
      <c r="E40" s="662" t="s">
        <v>172</v>
      </c>
      <c r="F40" s="662" t="s">
        <v>43</v>
      </c>
      <c r="G40" s="662" t="s">
        <v>43</v>
      </c>
      <c r="H40" s="530">
        <v>43.836763615037597</v>
      </c>
      <c r="I40" s="530">
        <v>75.963681739316229</v>
      </c>
      <c r="J40" s="530">
        <v>69.874065656410252</v>
      </c>
      <c r="K40" s="530">
        <v>100.89458205128206</v>
      </c>
      <c r="L40" s="530">
        <v>103.08264890179717</v>
      </c>
      <c r="M40" s="530">
        <v>107.90127492476063</v>
      </c>
      <c r="N40" s="530">
        <v>119.48362476190476</v>
      </c>
      <c r="O40" s="530">
        <v>144.79027975429526</v>
      </c>
      <c r="P40" s="530">
        <v>98.766768818181816</v>
      </c>
      <c r="Q40" s="530">
        <v>127.77226537082903</v>
      </c>
      <c r="R40" s="530">
        <v>92.993824317226895</v>
      </c>
      <c r="S40" s="530">
        <v>71.124804877777777</v>
      </c>
      <c r="T40" s="530">
        <v>1156.4845847888196</v>
      </c>
      <c r="U40" s="530" t="s">
        <v>61</v>
      </c>
    </row>
    <row r="41" spans="1:21" ht="13.8" x14ac:dyDescent="0.3">
      <c r="A41" s="530" t="str">
        <f t="shared" si="0"/>
        <v>Conwy.2011.Visitor Numbers.Non-Serviced Accommodation</v>
      </c>
      <c r="B41" s="530" t="s">
        <v>219</v>
      </c>
      <c r="C41" s="530" t="str">
        <f t="shared" si="1"/>
        <v>2011.Visitor Numbers.Non-Serviced Accommodation</v>
      </c>
      <c r="D41" s="530" t="s">
        <v>220</v>
      </c>
      <c r="E41" s="662" t="s">
        <v>172</v>
      </c>
      <c r="F41" s="662" t="s">
        <v>48</v>
      </c>
      <c r="G41" s="662" t="s">
        <v>48</v>
      </c>
      <c r="H41" s="530">
        <v>14.643152100274058</v>
      </c>
      <c r="I41" s="530">
        <v>16.14629731057358</v>
      </c>
      <c r="J41" s="530">
        <v>98.771604783894219</v>
      </c>
      <c r="K41" s="530">
        <v>105.04883975319791</v>
      </c>
      <c r="L41" s="530">
        <v>112.5190253778168</v>
      </c>
      <c r="M41" s="530">
        <v>111.13074491401207</v>
      </c>
      <c r="N41" s="530">
        <v>142.32253863239407</v>
      </c>
      <c r="O41" s="530">
        <v>140.83231957781737</v>
      </c>
      <c r="P41" s="530">
        <v>108.59479111924662</v>
      </c>
      <c r="Q41" s="530">
        <v>81.745648676642702</v>
      </c>
      <c r="R41" s="530">
        <v>21.941187238736731</v>
      </c>
      <c r="S41" s="530">
        <v>12.276478723541199</v>
      </c>
      <c r="T41" s="530">
        <v>965.97262820814728</v>
      </c>
      <c r="U41" s="530" t="s">
        <v>61</v>
      </c>
    </row>
    <row r="42" spans="1:21" ht="13.8" x14ac:dyDescent="0.3">
      <c r="A42" s="530" t="str">
        <f t="shared" si="0"/>
        <v>Conwy.2011.Visitor Numbers.SFR</v>
      </c>
      <c r="B42" s="530" t="s">
        <v>219</v>
      </c>
      <c r="C42" s="530" t="str">
        <f t="shared" si="1"/>
        <v>2011.Visitor Numbers.SFR</v>
      </c>
      <c r="D42" s="530" t="s">
        <v>220</v>
      </c>
      <c r="E42" s="662" t="s">
        <v>172</v>
      </c>
      <c r="F42" s="662" t="s">
        <v>18</v>
      </c>
      <c r="G42" s="662" t="s">
        <v>18</v>
      </c>
      <c r="H42" s="530">
        <v>22.684090909090909</v>
      </c>
      <c r="I42" s="530">
        <v>9.0736363636363606</v>
      </c>
      <c r="J42" s="530">
        <v>10.081818181818182</v>
      </c>
      <c r="K42" s="530">
        <v>19.155454545454543</v>
      </c>
      <c r="L42" s="530">
        <v>15.122727272727273</v>
      </c>
      <c r="M42" s="530">
        <v>12.204040909090908</v>
      </c>
      <c r="N42" s="530">
        <v>16.634999999999998</v>
      </c>
      <c r="O42" s="530">
        <v>16.932413636363634</v>
      </c>
      <c r="P42" s="530">
        <v>10.449804545454546</v>
      </c>
      <c r="Q42" s="530">
        <v>10.585909090909091</v>
      </c>
      <c r="R42" s="530">
        <v>8.6955681818181798</v>
      </c>
      <c r="S42" s="530">
        <v>19.659545454545455</v>
      </c>
      <c r="T42" s="530">
        <v>171.28000909090909</v>
      </c>
      <c r="U42" s="530" t="s">
        <v>61</v>
      </c>
    </row>
    <row r="43" spans="1:21" ht="13.8" x14ac:dyDescent="0.3">
      <c r="A43" s="530" t="str">
        <f t="shared" si="0"/>
        <v>Conwy.2011.Visitor Numbers.Day Visitor</v>
      </c>
      <c r="B43" s="530" t="s">
        <v>219</v>
      </c>
      <c r="C43" s="530" t="str">
        <f t="shared" si="1"/>
        <v>2011.Visitor Numbers.Day Visitor</v>
      </c>
      <c r="D43" s="530" t="s">
        <v>220</v>
      </c>
      <c r="E43" s="662" t="s">
        <v>172</v>
      </c>
      <c r="F43" s="662" t="s">
        <v>71</v>
      </c>
      <c r="G43" s="662" t="s">
        <v>71</v>
      </c>
      <c r="H43" s="530">
        <v>67.614719036455611</v>
      </c>
      <c r="I43" s="530">
        <v>277.17174825817767</v>
      </c>
      <c r="J43" s="530">
        <v>202.82932841162415</v>
      </c>
      <c r="K43" s="530">
        <v>760.52790867414558</v>
      </c>
      <c r="L43" s="530">
        <v>617.91842974884321</v>
      </c>
      <c r="M43" s="530">
        <v>642.81989562125125</v>
      </c>
      <c r="N43" s="530">
        <v>802.01114413006087</v>
      </c>
      <c r="O43" s="530">
        <v>1083.6119876041153</v>
      </c>
      <c r="P43" s="530">
        <v>611.44306092007957</v>
      </c>
      <c r="Q43" s="530">
        <v>403.98012430718461</v>
      </c>
      <c r="R43" s="530">
        <v>98.145517449901391</v>
      </c>
      <c r="S43" s="530">
        <v>31.367140014594668</v>
      </c>
      <c r="T43" s="530">
        <v>5599.4410041764349</v>
      </c>
      <c r="U43" s="530" t="s">
        <v>61</v>
      </c>
    </row>
    <row r="44" spans="1:21" ht="13.8" x14ac:dyDescent="0.3">
      <c r="A44" s="530" t="str">
        <f t="shared" si="0"/>
        <v>Conwy.2011.Visitor Numbers.Total</v>
      </c>
      <c r="B44" s="530" t="s">
        <v>219</v>
      </c>
      <c r="C44" s="530" t="str">
        <f t="shared" si="1"/>
        <v>2011.Visitor Numbers.Total</v>
      </c>
      <c r="D44" s="530" t="s">
        <v>220</v>
      </c>
      <c r="E44" s="662" t="s">
        <v>172</v>
      </c>
      <c r="F44" s="662" t="s">
        <v>54</v>
      </c>
      <c r="G44" s="662" t="s">
        <v>54</v>
      </c>
      <c r="H44" s="530">
        <v>148.77872566085819</v>
      </c>
      <c r="I44" s="530">
        <v>378.3553636717038</v>
      </c>
      <c r="J44" s="530">
        <v>381.55681703374682</v>
      </c>
      <c r="K44" s="530">
        <v>985.62678502408005</v>
      </c>
      <c r="L44" s="530">
        <v>848.64283130118451</v>
      </c>
      <c r="M44" s="530">
        <v>874.05595636911482</v>
      </c>
      <c r="N44" s="530">
        <v>1080.4523075243596</v>
      </c>
      <c r="O44" s="530">
        <v>1386.1670005725914</v>
      </c>
      <c r="P44" s="530">
        <v>829.25442540296262</v>
      </c>
      <c r="Q44" s="530">
        <v>624.0839474455654</v>
      </c>
      <c r="R44" s="530">
        <v>221.77609718768321</v>
      </c>
      <c r="S44" s="530">
        <v>134.42796907045908</v>
      </c>
      <c r="T44" s="530">
        <v>7893.1782262643101</v>
      </c>
      <c r="U44" s="530" t="s">
        <v>61</v>
      </c>
    </row>
    <row r="45" spans="1:21" ht="13.8" x14ac:dyDescent="0.3">
      <c r="A45" s="530" t="str">
        <f t="shared" si="0"/>
        <v>Conwy.2011.Vehicle Days.Serviced Accommodation</v>
      </c>
      <c r="B45" s="530" t="s">
        <v>219</v>
      </c>
      <c r="C45" s="530" t="str">
        <f t="shared" si="1"/>
        <v>2011.Vehicle Days.Serviced Accommodation</v>
      </c>
      <c r="D45" s="530" t="s">
        <v>220</v>
      </c>
      <c r="E45" s="662" t="s">
        <v>21</v>
      </c>
      <c r="F45" s="662" t="s">
        <v>43</v>
      </c>
      <c r="G45" s="662" t="s">
        <v>43</v>
      </c>
      <c r="H45" s="530">
        <v>17.272879006088523</v>
      </c>
      <c r="I45" s="530">
        <v>39.088988343756803</v>
      </c>
      <c r="J45" s="530">
        <v>51.180187541245481</v>
      </c>
      <c r="K45" s="530">
        <v>47.575088039641798</v>
      </c>
      <c r="L45" s="530">
        <v>53.220456943970717</v>
      </c>
      <c r="M45" s="530">
        <v>53.488277640174459</v>
      </c>
      <c r="N45" s="530">
        <v>53.667858001188058</v>
      </c>
      <c r="O45" s="530">
        <v>64.44083402293731</v>
      </c>
      <c r="P45" s="530">
        <v>50.696641201253726</v>
      </c>
      <c r="Q45" s="530">
        <v>69.128181327904485</v>
      </c>
      <c r="R45" s="530">
        <v>49.093355714507467</v>
      </c>
      <c r="S45" s="530">
        <v>29.755119723301494</v>
      </c>
      <c r="T45" s="530">
        <v>578.60786750597038</v>
      </c>
      <c r="U45" s="530" t="s">
        <v>61</v>
      </c>
    </row>
    <row r="46" spans="1:21" ht="13.8" x14ac:dyDescent="0.3">
      <c r="A46" s="530" t="str">
        <f t="shared" si="0"/>
        <v>Conwy.2011.Vehicle Days.Non-Serviced Accommodation</v>
      </c>
      <c r="B46" s="530" t="s">
        <v>219</v>
      </c>
      <c r="C46" s="530" t="str">
        <f t="shared" si="1"/>
        <v>2011.Vehicle Days.Non-Serviced Accommodation</v>
      </c>
      <c r="D46" s="530" t="s">
        <v>220</v>
      </c>
      <c r="E46" s="662" t="s">
        <v>21</v>
      </c>
      <c r="F46" s="662" t="s">
        <v>48</v>
      </c>
      <c r="G46" s="662" t="s">
        <v>48</v>
      </c>
      <c r="H46" s="530">
        <v>12.652162378110303</v>
      </c>
      <c r="I46" s="530">
        <v>18.742954010909195</v>
      </c>
      <c r="J46" s="530">
        <v>119.11213600046455</v>
      </c>
      <c r="K46" s="530">
        <v>174.17358512192519</v>
      </c>
      <c r="L46" s="530">
        <v>201.81688210510339</v>
      </c>
      <c r="M46" s="530">
        <v>204.06554944027235</v>
      </c>
      <c r="N46" s="530">
        <v>257.67477785121895</v>
      </c>
      <c r="O46" s="530">
        <v>270.96564707236115</v>
      </c>
      <c r="P46" s="530">
        <v>195.45643921608294</v>
      </c>
      <c r="Q46" s="530">
        <v>144.51962103972366</v>
      </c>
      <c r="R46" s="530">
        <v>25.069884874527418</v>
      </c>
      <c r="S46" s="530">
        <v>16.702698007391881</v>
      </c>
      <c r="T46" s="530">
        <v>1640.952337118091</v>
      </c>
      <c r="U46" s="530" t="s">
        <v>61</v>
      </c>
    </row>
    <row r="47" spans="1:21" ht="13.8" x14ac:dyDescent="0.3">
      <c r="A47" s="530" t="str">
        <f t="shared" si="0"/>
        <v>Conwy.2011.Vehicle Days.SFR</v>
      </c>
      <c r="B47" s="530" t="s">
        <v>219</v>
      </c>
      <c r="C47" s="530" t="str">
        <f t="shared" si="1"/>
        <v>2011.Vehicle Days.SFR</v>
      </c>
      <c r="D47" s="530" t="s">
        <v>220</v>
      </c>
      <c r="E47" s="662" t="s">
        <v>21</v>
      </c>
      <c r="F47" s="662" t="s">
        <v>18</v>
      </c>
      <c r="G47" s="662" t="s">
        <v>18</v>
      </c>
      <c r="H47" s="530">
        <v>17.769204545454542</v>
      </c>
      <c r="I47" s="530">
        <v>5.9704527272727255</v>
      </c>
      <c r="J47" s="530">
        <v>6.7917848484848484</v>
      </c>
      <c r="K47" s="530">
        <v>16.205514545454545</v>
      </c>
      <c r="L47" s="530">
        <v>10.424600000000002</v>
      </c>
      <c r="M47" s="530">
        <v>8.0302589181818167</v>
      </c>
      <c r="N47" s="530">
        <v>13.030749999999998</v>
      </c>
      <c r="O47" s="530">
        <v>13.794272975757574</v>
      </c>
      <c r="P47" s="530">
        <v>7.1051704372727267</v>
      </c>
      <c r="Q47" s="530">
        <v>7.0982049090909083</v>
      </c>
      <c r="R47" s="530">
        <v>5.5309610681818153</v>
      </c>
      <c r="S47" s="530">
        <v>16.015976363636366</v>
      </c>
      <c r="T47" s="530">
        <v>127.76715133878787</v>
      </c>
      <c r="U47" s="530" t="s">
        <v>61</v>
      </c>
    </row>
    <row r="48" spans="1:21" ht="13.8" x14ac:dyDescent="0.3">
      <c r="A48" s="530" t="str">
        <f t="shared" si="0"/>
        <v>Conwy.2011.Vehicle Days.Day Visitor</v>
      </c>
      <c r="B48" s="530" t="s">
        <v>219</v>
      </c>
      <c r="C48" s="530" t="str">
        <f t="shared" si="1"/>
        <v>2011.Vehicle Days.Day Visitor</v>
      </c>
      <c r="D48" s="530" t="s">
        <v>220</v>
      </c>
      <c r="E48" s="662" t="s">
        <v>21</v>
      </c>
      <c r="F48" s="662" t="s">
        <v>71</v>
      </c>
      <c r="G48" s="662" t="s">
        <v>71</v>
      </c>
      <c r="H48" s="530">
        <v>14.875238188020235</v>
      </c>
      <c r="I48" s="530">
        <v>69.688896704913248</v>
      </c>
      <c r="J48" s="530">
        <v>50.997088286351214</v>
      </c>
      <c r="K48" s="530">
        <v>167.31613990831204</v>
      </c>
      <c r="L48" s="530">
        <v>135.9420545447455</v>
      </c>
      <c r="M48" s="530">
        <v>161.62328804191461</v>
      </c>
      <c r="N48" s="530">
        <v>176.44245170861339</v>
      </c>
      <c r="O48" s="530">
        <v>238.39463727290536</v>
      </c>
      <c r="P48" s="530">
        <v>134.51747340241749</v>
      </c>
      <c r="Q48" s="530">
        <v>101.57214554009212</v>
      </c>
      <c r="R48" s="530">
        <v>24.676587244546635</v>
      </c>
      <c r="S48" s="530">
        <v>6.9007708032108273</v>
      </c>
      <c r="T48" s="530">
        <v>1282.9467716460429</v>
      </c>
      <c r="U48" s="530" t="s">
        <v>61</v>
      </c>
    </row>
    <row r="49" spans="1:21" ht="13.8" x14ac:dyDescent="0.3">
      <c r="A49" s="530" t="str">
        <f t="shared" si="0"/>
        <v>Conwy.2011.Vehicle Days.Total</v>
      </c>
      <c r="B49" s="530" t="s">
        <v>219</v>
      </c>
      <c r="C49" s="530" t="str">
        <f t="shared" si="1"/>
        <v>2011.Vehicle Days.Total</v>
      </c>
      <c r="D49" s="530" t="s">
        <v>220</v>
      </c>
      <c r="E49" s="662" t="s">
        <v>21</v>
      </c>
      <c r="F49" s="662" t="s">
        <v>54</v>
      </c>
      <c r="G49" s="662" t="s">
        <v>54</v>
      </c>
      <c r="H49" s="530">
        <v>62.569484117673603</v>
      </c>
      <c r="I49" s="530">
        <v>133.49129178685197</v>
      </c>
      <c r="J49" s="530">
        <v>228.08119667654609</v>
      </c>
      <c r="K49" s="530">
        <v>405.2703276153336</v>
      </c>
      <c r="L49" s="530">
        <v>401.40399359381956</v>
      </c>
      <c r="M49" s="530">
        <v>427.20737404054319</v>
      </c>
      <c r="N49" s="530">
        <v>500.81583756102043</v>
      </c>
      <c r="O49" s="530">
        <v>587.59539134396141</v>
      </c>
      <c r="P49" s="530">
        <v>387.77572425702692</v>
      </c>
      <c r="Q49" s="530">
        <v>322.31815281681116</v>
      </c>
      <c r="R49" s="530">
        <v>104.37078890176333</v>
      </c>
      <c r="S49" s="530">
        <v>69.37456489754058</v>
      </c>
      <c r="T49" s="530">
        <v>3630.2741276088918</v>
      </c>
      <c r="U49" s="530" t="s">
        <v>61</v>
      </c>
    </row>
    <row r="50" spans="1:21" ht="13.8" x14ac:dyDescent="0.3">
      <c r="A50" s="530" t="str">
        <f t="shared" si="0"/>
        <v>Conwy.2011.Vehicle Numbers.Serviced Accommodation</v>
      </c>
      <c r="B50" s="530" t="s">
        <v>219</v>
      </c>
      <c r="C50" s="530" t="str">
        <f t="shared" si="1"/>
        <v>2011.Vehicle Numbers.Serviced Accommodation</v>
      </c>
      <c r="D50" s="530" t="s">
        <v>220</v>
      </c>
      <c r="E50" s="662" t="s">
        <v>22</v>
      </c>
      <c r="F50" s="662" t="s">
        <v>43</v>
      </c>
      <c r="G50" s="662" t="s">
        <v>43</v>
      </c>
      <c r="H50" s="530">
        <v>11.272353831799249</v>
      </c>
      <c r="I50" s="530">
        <v>25.843611103536389</v>
      </c>
      <c r="J50" s="530">
        <v>24.82973518335001</v>
      </c>
      <c r="K50" s="530">
        <v>26.164264466467664</v>
      </c>
      <c r="L50" s="530">
        <v>28.33854401582358</v>
      </c>
      <c r="M50" s="530">
        <v>29.910521559395178</v>
      </c>
      <c r="N50" s="530">
        <v>31.001159343199717</v>
      </c>
      <c r="O50" s="530">
        <v>37.55883536187325</v>
      </c>
      <c r="P50" s="530">
        <v>25.608929343354134</v>
      </c>
      <c r="Q50" s="530">
        <v>40.19182272770751</v>
      </c>
      <c r="R50" s="530">
        <v>28.283328732693466</v>
      </c>
      <c r="S50" s="530">
        <v>18.466100227834161</v>
      </c>
      <c r="T50" s="530">
        <v>327.46920589703433</v>
      </c>
      <c r="U50" s="530" t="s">
        <v>61</v>
      </c>
    </row>
    <row r="51" spans="1:21" ht="13.8" x14ac:dyDescent="0.3">
      <c r="A51" s="530" t="str">
        <f t="shared" si="0"/>
        <v>Conwy.2011.Vehicle Numbers.Non-Serviced Accommodation</v>
      </c>
      <c r="B51" s="530" t="s">
        <v>219</v>
      </c>
      <c r="C51" s="530" t="str">
        <f t="shared" si="1"/>
        <v>2011.Vehicle Numbers.Non-Serviced Accommodation</v>
      </c>
      <c r="D51" s="530" t="s">
        <v>220</v>
      </c>
      <c r="E51" s="662" t="s">
        <v>22</v>
      </c>
      <c r="F51" s="662" t="s">
        <v>48</v>
      </c>
      <c r="G51" s="662" t="s">
        <v>48</v>
      </c>
      <c r="H51" s="530">
        <v>3.7212242288559718</v>
      </c>
      <c r="I51" s="530">
        <v>4.6857385027272986</v>
      </c>
      <c r="J51" s="530">
        <v>24.815028333430114</v>
      </c>
      <c r="K51" s="530">
        <v>27.214622675300809</v>
      </c>
      <c r="L51" s="530">
        <v>29.248823493493244</v>
      </c>
      <c r="M51" s="530">
        <v>29.152221348610336</v>
      </c>
      <c r="N51" s="530">
        <v>36.292222232566047</v>
      </c>
      <c r="O51" s="530">
        <v>35.653374614784362</v>
      </c>
      <c r="P51" s="530">
        <v>28.327020176243902</v>
      </c>
      <c r="Q51" s="530">
        <v>20.645660148531952</v>
      </c>
      <c r="R51" s="530">
        <v>5.5710855276727589</v>
      </c>
      <c r="S51" s="530">
        <v>2.9826246441771218</v>
      </c>
      <c r="T51" s="530">
        <v>248.30964592639393</v>
      </c>
      <c r="U51" s="530" t="s">
        <v>61</v>
      </c>
    </row>
    <row r="52" spans="1:21" ht="13.8" x14ac:dyDescent="0.3">
      <c r="A52" s="530" t="str">
        <f t="shared" si="0"/>
        <v>Conwy.2011.Vehicle Numbers.SFR</v>
      </c>
      <c r="B52" s="530" t="s">
        <v>219</v>
      </c>
      <c r="C52" s="530" t="str">
        <f t="shared" si="1"/>
        <v>2011.Vehicle Numbers.SFR</v>
      </c>
      <c r="D52" s="530" t="s">
        <v>220</v>
      </c>
      <c r="E52" s="662" t="s">
        <v>22</v>
      </c>
      <c r="F52" s="662" t="s">
        <v>18</v>
      </c>
      <c r="G52" s="662" t="s">
        <v>18</v>
      </c>
      <c r="H52" s="530">
        <v>7.1076818181818178</v>
      </c>
      <c r="I52" s="530">
        <v>2.8430727272727263</v>
      </c>
      <c r="J52" s="530">
        <v>3.158969696969697</v>
      </c>
      <c r="K52" s="530">
        <v>6.0020424242424228</v>
      </c>
      <c r="L52" s="530">
        <v>4.7384545454545455</v>
      </c>
      <c r="M52" s="530">
        <v>3.8239328181818175</v>
      </c>
      <c r="N52" s="530">
        <v>5.212299999999999</v>
      </c>
      <c r="O52" s="530">
        <v>5.3054896060606049</v>
      </c>
      <c r="P52" s="530">
        <v>3.2742720909090908</v>
      </c>
      <c r="Q52" s="530">
        <v>3.3169181818181817</v>
      </c>
      <c r="R52" s="530">
        <v>2.7246113636363631</v>
      </c>
      <c r="S52" s="530">
        <v>6.1599909090909089</v>
      </c>
      <c r="T52" s="530">
        <v>53.667736181818178</v>
      </c>
      <c r="U52" s="530" t="s">
        <v>61</v>
      </c>
    </row>
    <row r="53" spans="1:21" ht="13.8" x14ac:dyDescent="0.3">
      <c r="A53" s="530" t="str">
        <f t="shared" si="0"/>
        <v>Conwy.2011.Vehicle Numbers.Day Visitor</v>
      </c>
      <c r="B53" s="530" t="s">
        <v>219</v>
      </c>
      <c r="C53" s="530" t="str">
        <f t="shared" si="1"/>
        <v>2011.Vehicle Numbers.Day Visitor</v>
      </c>
      <c r="D53" s="530" t="s">
        <v>220</v>
      </c>
      <c r="E53" s="662" t="s">
        <v>22</v>
      </c>
      <c r="F53" s="662" t="s">
        <v>71</v>
      </c>
      <c r="G53" s="662" t="s">
        <v>71</v>
      </c>
      <c r="H53" s="530">
        <v>14.875238188020235</v>
      </c>
      <c r="I53" s="530">
        <v>69.688896704913248</v>
      </c>
      <c r="J53" s="530">
        <v>50.997088286351214</v>
      </c>
      <c r="K53" s="530">
        <v>167.31613990831204</v>
      </c>
      <c r="L53" s="530">
        <v>135.9420545447455</v>
      </c>
      <c r="M53" s="530">
        <v>161.62328804191461</v>
      </c>
      <c r="N53" s="530">
        <v>176.44245170861339</v>
      </c>
      <c r="O53" s="530">
        <v>238.39463727290536</v>
      </c>
      <c r="P53" s="530">
        <v>134.51747340241749</v>
      </c>
      <c r="Q53" s="530">
        <v>101.57214554009212</v>
      </c>
      <c r="R53" s="530">
        <v>24.676587244546635</v>
      </c>
      <c r="S53" s="530">
        <v>6.9007708032108273</v>
      </c>
      <c r="T53" s="530">
        <v>1282.9467716460429</v>
      </c>
      <c r="U53" s="530" t="s">
        <v>61</v>
      </c>
    </row>
    <row r="54" spans="1:21" ht="13.8" x14ac:dyDescent="0.3">
      <c r="A54" s="530" t="str">
        <f t="shared" si="0"/>
        <v>Conwy.2011.Vehicle Numbers.Total</v>
      </c>
      <c r="B54" s="530" t="s">
        <v>219</v>
      </c>
      <c r="C54" s="530" t="str">
        <f t="shared" si="1"/>
        <v>2011.Vehicle Numbers.Total</v>
      </c>
      <c r="D54" s="530" t="s">
        <v>220</v>
      </c>
      <c r="E54" s="662" t="s">
        <v>22</v>
      </c>
      <c r="F54" s="662" t="s">
        <v>54</v>
      </c>
      <c r="G54" s="662" t="s">
        <v>54</v>
      </c>
      <c r="H54" s="530">
        <v>36.976498066857275</v>
      </c>
      <c r="I54" s="530">
        <v>103.06131903844965</v>
      </c>
      <c r="J54" s="530">
        <v>103.80082150010104</v>
      </c>
      <c r="K54" s="530">
        <v>226.69706947432294</v>
      </c>
      <c r="L54" s="530">
        <v>198.26787659951685</v>
      </c>
      <c r="M54" s="530">
        <v>224.50996376810195</v>
      </c>
      <c r="N54" s="530">
        <v>248.94813328437914</v>
      </c>
      <c r="O54" s="530">
        <v>316.91233685562361</v>
      </c>
      <c r="P54" s="530">
        <v>191.72769501292464</v>
      </c>
      <c r="Q54" s="530">
        <v>165.72654659814975</v>
      </c>
      <c r="R54" s="530">
        <v>61.255612868549221</v>
      </c>
      <c r="S54" s="530">
        <v>34.509486584313017</v>
      </c>
      <c r="T54" s="530">
        <v>1912.3933596512891</v>
      </c>
      <c r="U54" s="530" t="s">
        <v>61</v>
      </c>
    </row>
    <row r="55" spans="1:21" ht="13.8" x14ac:dyDescent="0.3">
      <c r="A55" s="530" t="str">
        <f t="shared" si="0"/>
        <v>Conwy.2011.Accommodation.Serviced Accommodation</v>
      </c>
      <c r="B55" s="530" t="s">
        <v>219</v>
      </c>
      <c r="C55" s="530" t="str">
        <f t="shared" si="1"/>
        <v>2011.Accommodation.Serviced Accommodation</v>
      </c>
      <c r="D55" s="530" t="s">
        <v>220</v>
      </c>
      <c r="E55" s="662" t="s">
        <v>23</v>
      </c>
      <c r="F55" s="662" t="s">
        <v>43</v>
      </c>
      <c r="G55" s="662" t="s">
        <v>43</v>
      </c>
      <c r="H55" s="530">
        <v>8884</v>
      </c>
      <c r="I55" s="530">
        <v>10350</v>
      </c>
      <c r="J55" s="530">
        <v>11920</v>
      </c>
      <c r="K55" s="530">
        <v>12204</v>
      </c>
      <c r="L55" s="530">
        <v>12214</v>
      </c>
      <c r="M55" s="530">
        <v>12230</v>
      </c>
      <c r="N55" s="530">
        <v>12230</v>
      </c>
      <c r="O55" s="530">
        <v>12230</v>
      </c>
      <c r="P55" s="530">
        <v>12230</v>
      </c>
      <c r="Q55" s="530">
        <v>12123</v>
      </c>
      <c r="R55" s="530">
        <v>11431</v>
      </c>
      <c r="S55" s="530">
        <v>10792</v>
      </c>
      <c r="T55" s="530">
        <v>12230</v>
      </c>
      <c r="U55" s="530" t="s">
        <v>58</v>
      </c>
    </row>
    <row r="56" spans="1:21" ht="13.8" x14ac:dyDescent="0.3">
      <c r="A56" s="530" t="str">
        <f t="shared" si="0"/>
        <v>Conwy.2011.Accommodation.Non-Serviced Accommodation</v>
      </c>
      <c r="B56" s="530" t="s">
        <v>219</v>
      </c>
      <c r="C56" s="530" t="str">
        <f t="shared" si="1"/>
        <v>2011.Accommodation.Non-Serviced Accommodation</v>
      </c>
      <c r="D56" s="530" t="s">
        <v>220</v>
      </c>
      <c r="E56" s="662" t="s">
        <v>23</v>
      </c>
      <c r="F56" s="662" t="s">
        <v>48</v>
      </c>
      <c r="G56" s="662" t="s">
        <v>48</v>
      </c>
      <c r="H56" s="530">
        <v>6576</v>
      </c>
      <c r="I56" s="530">
        <v>6784</v>
      </c>
      <c r="J56" s="530">
        <v>39076</v>
      </c>
      <c r="K56" s="530">
        <v>39389</v>
      </c>
      <c r="L56" s="530">
        <v>39712</v>
      </c>
      <c r="M56" s="530">
        <v>39712</v>
      </c>
      <c r="N56" s="530">
        <v>39712</v>
      </c>
      <c r="O56" s="530">
        <v>39712</v>
      </c>
      <c r="P56" s="530">
        <v>39712</v>
      </c>
      <c r="Q56" s="530">
        <v>39309</v>
      </c>
      <c r="R56" s="530">
        <v>10284</v>
      </c>
      <c r="S56" s="530">
        <v>8641</v>
      </c>
      <c r="T56" s="530">
        <v>39712</v>
      </c>
      <c r="U56" s="530" t="s">
        <v>58</v>
      </c>
    </row>
    <row r="57" spans="1:21" ht="13.8" x14ac:dyDescent="0.3">
      <c r="A57" s="530" t="str">
        <f t="shared" si="0"/>
        <v>Conwy.2011.Accommodation.Total</v>
      </c>
      <c r="B57" s="530" t="s">
        <v>219</v>
      </c>
      <c r="C57" s="530" t="str">
        <f t="shared" si="1"/>
        <v>2011.Accommodation.Total</v>
      </c>
      <c r="D57" s="530" t="s">
        <v>220</v>
      </c>
      <c r="E57" s="662" t="s">
        <v>23</v>
      </c>
      <c r="F57" s="662" t="s">
        <v>54</v>
      </c>
      <c r="G57" s="662" t="s">
        <v>54</v>
      </c>
      <c r="H57" s="530">
        <v>15460</v>
      </c>
      <c r="I57" s="530">
        <v>17134</v>
      </c>
      <c r="J57" s="530">
        <v>50996</v>
      </c>
      <c r="K57" s="530">
        <v>51593</v>
      </c>
      <c r="L57" s="530">
        <v>51926</v>
      </c>
      <c r="M57" s="530">
        <v>51942</v>
      </c>
      <c r="N57" s="530">
        <v>51942</v>
      </c>
      <c r="O57" s="530">
        <v>51942</v>
      </c>
      <c r="P57" s="530">
        <v>51942</v>
      </c>
      <c r="Q57" s="530">
        <v>51432</v>
      </c>
      <c r="R57" s="530">
        <v>21715</v>
      </c>
      <c r="S57" s="530">
        <v>19433</v>
      </c>
      <c r="T57" s="530">
        <v>51942</v>
      </c>
      <c r="U57" s="530" t="s">
        <v>58</v>
      </c>
    </row>
    <row r="58" spans="1:21" ht="13.8" x14ac:dyDescent="0.3">
      <c r="A58" s="530" t="str">
        <f t="shared" si="0"/>
        <v>Conwy.2011.Economic Impact.Total</v>
      </c>
      <c r="B58" s="530" t="s">
        <v>219</v>
      </c>
      <c r="C58" s="530" t="str">
        <f t="shared" si="1"/>
        <v>2011.Economic Impact.Total</v>
      </c>
      <c r="D58" s="530" t="s">
        <v>220</v>
      </c>
      <c r="E58" s="662" t="s">
        <v>17</v>
      </c>
      <c r="F58" s="662" t="s">
        <v>54</v>
      </c>
      <c r="G58" s="662" t="s">
        <v>54</v>
      </c>
      <c r="H58" s="530">
        <v>11197.393387562366</v>
      </c>
      <c r="I58" s="530">
        <v>22800.139733733417</v>
      </c>
      <c r="J58" s="530">
        <v>35520.767017842285</v>
      </c>
      <c r="K58" s="530">
        <v>68993.470717175791</v>
      </c>
      <c r="L58" s="530">
        <v>66634.924199648929</v>
      </c>
      <c r="M58" s="530">
        <v>67775.91281561194</v>
      </c>
      <c r="N58" s="530">
        <v>87823.111182866473</v>
      </c>
      <c r="O58" s="530">
        <v>105000.50977691036</v>
      </c>
      <c r="P58" s="530">
        <v>71058.462608992399</v>
      </c>
      <c r="Q58" s="530">
        <v>52400.220743073485</v>
      </c>
      <c r="R58" s="530">
        <v>19961.917563589377</v>
      </c>
      <c r="S58" s="530">
        <v>14006.455446857641</v>
      </c>
      <c r="T58" s="530">
        <v>623173.28519386449</v>
      </c>
      <c r="U58" s="530" t="s">
        <v>57</v>
      </c>
    </row>
    <row r="59" spans="1:21" ht="13.8" x14ac:dyDescent="0.3">
      <c r="A59" s="530" t="str">
        <f t="shared" si="0"/>
        <v>Conwy.2012.Economic Impact.Indirect Expenditure</v>
      </c>
      <c r="B59" s="530" t="s">
        <v>219</v>
      </c>
      <c r="C59" s="530" t="str">
        <f t="shared" si="1"/>
        <v>2012.Economic Impact.Indirect Expenditure</v>
      </c>
      <c r="D59" s="530" t="s">
        <v>231</v>
      </c>
      <c r="E59" s="530" t="s">
        <v>17</v>
      </c>
      <c r="F59" s="530" t="s">
        <v>45</v>
      </c>
      <c r="G59" s="530" t="s">
        <v>45</v>
      </c>
      <c r="H59" s="530">
        <v>2589.2350041132008</v>
      </c>
      <c r="I59" s="530">
        <v>6110.8692077358519</v>
      </c>
      <c r="J59" s="530">
        <v>9936.3618333210816</v>
      </c>
      <c r="K59" s="530">
        <v>17210.500137912353</v>
      </c>
      <c r="L59" s="530">
        <v>17706.703431615708</v>
      </c>
      <c r="M59" s="530">
        <v>18480.864914302325</v>
      </c>
      <c r="N59" s="530">
        <v>24377.451786049787</v>
      </c>
      <c r="O59" s="530">
        <v>28460.356348806839</v>
      </c>
      <c r="P59" s="530">
        <v>20278.625309154937</v>
      </c>
      <c r="Q59" s="530">
        <v>13988.878700303816</v>
      </c>
      <c r="R59" s="530">
        <v>6594.568741414274</v>
      </c>
      <c r="S59" s="530">
        <v>3871.4301831778475</v>
      </c>
      <c r="T59" s="530">
        <v>169605.84559790805</v>
      </c>
      <c r="U59" s="530" t="s">
        <v>57</v>
      </c>
    </row>
    <row r="60" spans="1:21" ht="13.8" x14ac:dyDescent="0.3">
      <c r="A60" s="530" t="str">
        <f t="shared" si="0"/>
        <v>Conwy.2012.Economic Impact.Direct Revenue</v>
      </c>
      <c r="B60" s="530" t="s">
        <v>219</v>
      </c>
      <c r="C60" s="530" t="str">
        <f t="shared" si="1"/>
        <v>2012.Economic Impact.Direct Revenue</v>
      </c>
      <c r="D60" s="530" t="s">
        <v>231</v>
      </c>
      <c r="E60" s="530" t="s">
        <v>17</v>
      </c>
      <c r="F60" s="530" t="s">
        <v>46</v>
      </c>
      <c r="G60" s="530" t="s">
        <v>46</v>
      </c>
      <c r="H60" s="530">
        <v>6969.754817171176</v>
      </c>
      <c r="I60" s="530">
        <v>15827.212779242711</v>
      </c>
      <c r="J60" s="530">
        <v>25589.80922817329</v>
      </c>
      <c r="K60" s="530">
        <v>43363.006677706791</v>
      </c>
      <c r="L60" s="530">
        <v>45134.351589804333</v>
      </c>
      <c r="M60" s="530">
        <v>46907.946724206289</v>
      </c>
      <c r="N60" s="530">
        <v>61259.177451835327</v>
      </c>
      <c r="O60" s="530">
        <v>71863.860777132373</v>
      </c>
      <c r="P60" s="530">
        <v>51385.756380561375</v>
      </c>
      <c r="Q60" s="530">
        <v>35624.27936377671</v>
      </c>
      <c r="R60" s="530">
        <v>17551.615645194895</v>
      </c>
      <c r="S60" s="530">
        <v>10400.000780431819</v>
      </c>
      <c r="T60" s="530">
        <v>431876.77221523714</v>
      </c>
      <c r="U60" s="530" t="s">
        <v>57</v>
      </c>
    </row>
    <row r="61" spans="1:21" ht="13.8" x14ac:dyDescent="0.3">
      <c r="A61" s="530" t="str">
        <f t="shared" si="0"/>
        <v>Conwy.2012.Economic Impact.VAT</v>
      </c>
      <c r="B61" s="530" t="s">
        <v>219</v>
      </c>
      <c r="C61" s="530" t="str">
        <f t="shared" si="1"/>
        <v>2012.Economic Impact.VAT</v>
      </c>
      <c r="D61" s="530" t="s">
        <v>231</v>
      </c>
      <c r="E61" s="530" t="s">
        <v>17</v>
      </c>
      <c r="F61" s="530" t="s">
        <v>47</v>
      </c>
      <c r="G61" s="530" t="s">
        <v>47</v>
      </c>
      <c r="H61" s="530">
        <v>1393.9509634342353</v>
      </c>
      <c r="I61" s="530">
        <v>3165.4425558485427</v>
      </c>
      <c r="J61" s="530">
        <v>5117.9618456346579</v>
      </c>
      <c r="K61" s="530">
        <v>8672.6013355413579</v>
      </c>
      <c r="L61" s="530">
        <v>9026.8703179608656</v>
      </c>
      <c r="M61" s="530">
        <v>9381.5893448412571</v>
      </c>
      <c r="N61" s="530">
        <v>12251.835490367066</v>
      </c>
      <c r="O61" s="530">
        <v>14372.772155426477</v>
      </c>
      <c r="P61" s="530">
        <v>10277.151276112278</v>
      </c>
      <c r="Q61" s="530">
        <v>7124.8558727553427</v>
      </c>
      <c r="R61" s="530">
        <v>3510.3231290389795</v>
      </c>
      <c r="S61" s="530">
        <v>2080.0001560863639</v>
      </c>
      <c r="T61" s="530">
        <v>86375.354443047429</v>
      </c>
      <c r="U61" s="530" t="s">
        <v>57</v>
      </c>
    </row>
    <row r="62" spans="1:21" ht="13.8" x14ac:dyDescent="0.3">
      <c r="A62" s="530" t="str">
        <f t="shared" si="0"/>
        <v>Conwy.2012.Economic Impact.Serviced Accommodation</v>
      </c>
      <c r="B62" s="530" t="s">
        <v>219</v>
      </c>
      <c r="C62" s="530" t="str">
        <f t="shared" si="1"/>
        <v>2012.Economic Impact.Serviced Accommodation</v>
      </c>
      <c r="D62" s="530" t="s">
        <v>231</v>
      </c>
      <c r="E62" s="530" t="s">
        <v>17</v>
      </c>
      <c r="F62" s="530" t="s">
        <v>43</v>
      </c>
      <c r="G62" s="530" t="s">
        <v>43</v>
      </c>
      <c r="H62" s="530">
        <v>5383.6096219549054</v>
      </c>
      <c r="I62" s="530">
        <v>9460.9618801041252</v>
      </c>
      <c r="J62" s="530">
        <v>11462.64147042777</v>
      </c>
      <c r="K62" s="530">
        <v>13221.560415156229</v>
      </c>
      <c r="L62" s="530">
        <v>16754.238074159839</v>
      </c>
      <c r="M62" s="530">
        <v>16470.204259633967</v>
      </c>
      <c r="N62" s="530">
        <v>17525.472712255625</v>
      </c>
      <c r="O62" s="530">
        <v>23419.264213782659</v>
      </c>
      <c r="P62" s="530">
        <v>18188.967351107225</v>
      </c>
      <c r="Q62" s="530">
        <v>12938.508790088099</v>
      </c>
      <c r="R62" s="530">
        <v>11744.927030250226</v>
      </c>
      <c r="S62" s="530">
        <v>9069.8494552137818</v>
      </c>
      <c r="T62" s="530">
        <v>165640.20527413444</v>
      </c>
      <c r="U62" s="530" t="s">
        <v>57</v>
      </c>
    </row>
    <row r="63" spans="1:21" ht="13.8" x14ac:dyDescent="0.3">
      <c r="A63" s="530" t="str">
        <f t="shared" si="0"/>
        <v>Conwy.2012.Economic Impact.Non-Serviced Accommodation</v>
      </c>
      <c r="B63" s="530" t="s">
        <v>219</v>
      </c>
      <c r="C63" s="530" t="str">
        <f t="shared" si="1"/>
        <v>2012.Economic Impact.Non-Serviced Accommodation</v>
      </c>
      <c r="D63" s="530" t="s">
        <v>231</v>
      </c>
      <c r="E63" s="530" t="s">
        <v>17</v>
      </c>
      <c r="F63" s="530" t="s">
        <v>48</v>
      </c>
      <c r="G63" s="530" t="s">
        <v>48</v>
      </c>
      <c r="H63" s="530">
        <v>1407.2051759196186</v>
      </c>
      <c r="I63" s="530">
        <v>2893.4335005830526</v>
      </c>
      <c r="J63" s="530">
        <v>16821.563014694002</v>
      </c>
      <c r="K63" s="530">
        <v>26295.781447300997</v>
      </c>
      <c r="L63" s="530">
        <v>27903.930285533945</v>
      </c>
      <c r="M63" s="530">
        <v>33740.454751215439</v>
      </c>
      <c r="N63" s="530">
        <v>43756.505944838907</v>
      </c>
      <c r="O63" s="530">
        <v>47920.663185644684</v>
      </c>
      <c r="P63" s="530">
        <v>36720.476173840529</v>
      </c>
      <c r="Q63" s="530">
        <v>28095.420776591222</v>
      </c>
      <c r="R63" s="530">
        <v>11611.991238910676</v>
      </c>
      <c r="S63" s="530">
        <v>4123.2812707472431</v>
      </c>
      <c r="T63" s="530">
        <v>281290.70676582033</v>
      </c>
      <c r="U63" s="530" t="s">
        <v>57</v>
      </c>
    </row>
    <row r="64" spans="1:21" ht="13.8" x14ac:dyDescent="0.3">
      <c r="A64" s="530" t="str">
        <f t="shared" si="0"/>
        <v>Conwy.2012.Economic Impact.SFR</v>
      </c>
      <c r="B64" s="530" t="s">
        <v>219</v>
      </c>
      <c r="C64" s="530" t="str">
        <f t="shared" si="1"/>
        <v>2012.Economic Impact.SFR</v>
      </c>
      <c r="D64" s="530" t="s">
        <v>231</v>
      </c>
      <c r="E64" s="530" t="s">
        <v>17</v>
      </c>
      <c r="F64" s="530" t="s">
        <v>18</v>
      </c>
      <c r="G64" s="530" t="s">
        <v>18</v>
      </c>
      <c r="H64" s="530">
        <v>1736.040267310909</v>
      </c>
      <c r="I64" s="530">
        <v>583.30952981646544</v>
      </c>
      <c r="J64" s="530">
        <v>663.55316883883654</v>
      </c>
      <c r="K64" s="530">
        <v>1583.2687237875489</v>
      </c>
      <c r="L64" s="530">
        <v>1018.4769568224003</v>
      </c>
      <c r="M64" s="530">
        <v>784.551317603146</v>
      </c>
      <c r="N64" s="530">
        <v>1273.0961960280003</v>
      </c>
      <c r="O64" s="530">
        <v>1347.6919173807194</v>
      </c>
      <c r="P64" s="530">
        <v>694.17074656658383</v>
      </c>
      <c r="Q64" s="530">
        <v>693.49021878179781</v>
      </c>
      <c r="R64" s="530">
        <v>540.37146720497549</v>
      </c>
      <c r="S64" s="530">
        <v>1564.750960936233</v>
      </c>
      <c r="T64" s="530">
        <v>12482.771471077616</v>
      </c>
      <c r="U64" s="530" t="s">
        <v>57</v>
      </c>
    </row>
    <row r="65" spans="1:21" ht="13.8" x14ac:dyDescent="0.3">
      <c r="A65" s="530" t="str">
        <f t="shared" si="0"/>
        <v>Conwy.2012.Economic Impact.Day Visitor</v>
      </c>
      <c r="B65" s="530" t="s">
        <v>219</v>
      </c>
      <c r="C65" s="530" t="str">
        <f t="shared" si="1"/>
        <v>2012.Economic Impact.Day Visitor</v>
      </c>
      <c r="D65" s="530" t="s">
        <v>231</v>
      </c>
      <c r="E65" s="530" t="s">
        <v>17</v>
      </c>
      <c r="F65" s="530" t="s">
        <v>71</v>
      </c>
      <c r="G65" s="530" t="s">
        <v>71</v>
      </c>
      <c r="H65" s="530">
        <v>2426.0857195331791</v>
      </c>
      <c r="I65" s="530">
        <v>12165.819632323461</v>
      </c>
      <c r="J65" s="530">
        <v>11696.375253168419</v>
      </c>
      <c r="K65" s="530">
        <v>28145.497564915728</v>
      </c>
      <c r="L65" s="530">
        <v>26191.280022864717</v>
      </c>
      <c r="M65" s="530">
        <v>23775.190654897317</v>
      </c>
      <c r="N65" s="530">
        <v>35333.389875129658</v>
      </c>
      <c r="O65" s="530">
        <v>42009.369964557634</v>
      </c>
      <c r="P65" s="530">
        <v>26337.918694314252</v>
      </c>
      <c r="Q65" s="530">
        <v>15010.594151374738</v>
      </c>
      <c r="R65" s="530">
        <v>3759.2177792822713</v>
      </c>
      <c r="S65" s="530">
        <v>1593.5494327987708</v>
      </c>
      <c r="T65" s="530">
        <v>228444.28874516019</v>
      </c>
      <c r="U65" s="530" t="s">
        <v>57</v>
      </c>
    </row>
    <row r="66" spans="1:21" ht="13.8" x14ac:dyDescent="0.3">
      <c r="A66" s="530" t="str">
        <f t="shared" si="0"/>
        <v>Conwy.2012.Economic Impact.Accommodation</v>
      </c>
      <c r="B66" s="530" t="s">
        <v>219</v>
      </c>
      <c r="C66" s="530" t="str">
        <f t="shared" si="1"/>
        <v>2012.Economic Impact.Accommodation</v>
      </c>
      <c r="D66" s="530" t="s">
        <v>231</v>
      </c>
      <c r="E66" s="530" t="s">
        <v>17</v>
      </c>
      <c r="F66" s="530" t="s">
        <v>23</v>
      </c>
      <c r="G66" s="530" t="s">
        <v>23</v>
      </c>
      <c r="H66" s="530">
        <v>2357.0914805638467</v>
      </c>
      <c r="I66" s="530">
        <v>4282.8090355461409</v>
      </c>
      <c r="J66" s="530">
        <v>6211.5405464658252</v>
      </c>
      <c r="K66" s="530">
        <v>7589.9996083841188</v>
      </c>
      <c r="L66" s="530">
        <v>8714.1759657564216</v>
      </c>
      <c r="M66" s="530">
        <v>9372.6847263276322</v>
      </c>
      <c r="N66" s="530">
        <v>12447.719482107184</v>
      </c>
      <c r="O66" s="530">
        <v>15804.275998595362</v>
      </c>
      <c r="P66" s="530">
        <v>13347.426464580994</v>
      </c>
      <c r="Q66" s="530">
        <v>7779.3538926892506</v>
      </c>
      <c r="R66" s="530">
        <v>5848.2148694120478</v>
      </c>
      <c r="S66" s="530">
        <v>4260.024560697886</v>
      </c>
      <c r="T66" s="530">
        <v>98015.316631126698</v>
      </c>
      <c r="U66" s="530" t="s">
        <v>57</v>
      </c>
    </row>
    <row r="67" spans="1:21" ht="13.8" x14ac:dyDescent="0.3">
      <c r="A67" s="530" t="str">
        <f t="shared" si="0"/>
        <v>Conwy.2012.Economic Impact.Food &amp; Drink</v>
      </c>
      <c r="B67" s="530" t="s">
        <v>219</v>
      </c>
      <c r="C67" s="530" t="str">
        <f t="shared" si="1"/>
        <v>2012.Economic Impact.Food &amp; Drink</v>
      </c>
      <c r="D67" s="530" t="s">
        <v>231</v>
      </c>
      <c r="E67" s="530" t="s">
        <v>17</v>
      </c>
      <c r="F67" s="530" t="s">
        <v>49</v>
      </c>
      <c r="G67" s="530" t="s">
        <v>49</v>
      </c>
      <c r="H67" s="530">
        <v>1422.3052935467022</v>
      </c>
      <c r="I67" s="530">
        <v>3052.2378632809182</v>
      </c>
      <c r="J67" s="530">
        <v>6040.702134565965</v>
      </c>
      <c r="K67" s="530">
        <v>10531.553800192003</v>
      </c>
      <c r="L67" s="530">
        <v>10940.992585040474</v>
      </c>
      <c r="M67" s="530">
        <v>11405.27968734117</v>
      </c>
      <c r="N67" s="530">
        <v>14699.443633810477</v>
      </c>
      <c r="O67" s="530">
        <v>16665.996200981033</v>
      </c>
      <c r="P67" s="530">
        <v>11514.40889908944</v>
      </c>
      <c r="Q67" s="530">
        <v>8751.9012844934041</v>
      </c>
      <c r="R67" s="530">
        <v>3849.8048394115899</v>
      </c>
      <c r="S67" s="530">
        <v>1969.1395612647636</v>
      </c>
      <c r="T67" s="530">
        <v>100843.76578301794</v>
      </c>
      <c r="U67" s="530" t="s">
        <v>57</v>
      </c>
    </row>
    <row r="68" spans="1:21" ht="13.8" x14ac:dyDescent="0.3">
      <c r="A68" s="530" t="str">
        <f t="shared" si="0"/>
        <v>Conwy.2012.Economic Impact.Recreation</v>
      </c>
      <c r="B68" s="530" t="s">
        <v>219</v>
      </c>
      <c r="C68" s="530" t="str">
        <f t="shared" si="1"/>
        <v>2012.Economic Impact.Recreation</v>
      </c>
      <c r="D68" s="530" t="s">
        <v>231</v>
      </c>
      <c r="E68" s="530" t="s">
        <v>17</v>
      </c>
      <c r="F68" s="530" t="s">
        <v>50</v>
      </c>
      <c r="G68" s="530" t="s">
        <v>50</v>
      </c>
      <c r="H68" s="530">
        <v>426.00378661572734</v>
      </c>
      <c r="I68" s="530">
        <v>960.14815286951341</v>
      </c>
      <c r="J68" s="530">
        <v>1757.5966490392623</v>
      </c>
      <c r="K68" s="530">
        <v>3218.0008248956356</v>
      </c>
      <c r="L68" s="530">
        <v>3269.2067322709336</v>
      </c>
      <c r="M68" s="530">
        <v>3688.7738936013102</v>
      </c>
      <c r="N68" s="530">
        <v>4473.9197378476911</v>
      </c>
      <c r="O68" s="530">
        <v>5148.0593280732455</v>
      </c>
      <c r="P68" s="530">
        <v>3649.6456309078412</v>
      </c>
      <c r="Q68" s="530">
        <v>2744.5813539147662</v>
      </c>
      <c r="R68" s="530">
        <v>1191.7703992969894</v>
      </c>
      <c r="S68" s="530">
        <v>633.81719770500422</v>
      </c>
      <c r="T68" s="530">
        <v>31161.523687037927</v>
      </c>
      <c r="U68" s="530" t="s">
        <v>57</v>
      </c>
    </row>
    <row r="69" spans="1:21" ht="13.8" x14ac:dyDescent="0.3">
      <c r="A69" s="530" t="str">
        <f t="shared" si="0"/>
        <v>Conwy.2012.Economic Impact.Shopping</v>
      </c>
      <c r="B69" s="530" t="s">
        <v>219</v>
      </c>
      <c r="C69" s="530" t="str">
        <f t="shared" si="1"/>
        <v>2012.Economic Impact.Shopping</v>
      </c>
      <c r="D69" s="530" t="s">
        <v>231</v>
      </c>
      <c r="E69" s="530" t="s">
        <v>17</v>
      </c>
      <c r="F69" s="530" t="s">
        <v>51</v>
      </c>
      <c r="G69" s="530" t="s">
        <v>51</v>
      </c>
      <c r="H69" s="530">
        <v>2135.2813209745045</v>
      </c>
      <c r="I69" s="530">
        <v>5968.5810169177057</v>
      </c>
      <c r="J69" s="530">
        <v>8829.52491722579</v>
      </c>
      <c r="K69" s="530">
        <v>17001.779917326839</v>
      </c>
      <c r="L69" s="530">
        <v>17047.484518518697</v>
      </c>
      <c r="M69" s="530">
        <v>17012.553445965023</v>
      </c>
      <c r="N69" s="530">
        <v>22705.158364833849</v>
      </c>
      <c r="O69" s="530">
        <v>26294.309579382832</v>
      </c>
      <c r="P69" s="530">
        <v>17441.007981663093</v>
      </c>
      <c r="Q69" s="530">
        <v>12317.685841432545</v>
      </c>
      <c r="R69" s="530">
        <v>4933.5745173702562</v>
      </c>
      <c r="S69" s="530">
        <v>2657.3216416048554</v>
      </c>
      <c r="T69" s="530">
        <v>154344.263063216</v>
      </c>
      <c r="U69" s="530" t="s">
        <v>57</v>
      </c>
    </row>
    <row r="70" spans="1:21" ht="13.8" x14ac:dyDescent="0.3">
      <c r="A70" s="530" t="str">
        <f t="shared" si="0"/>
        <v>Conwy.2012.Economic Impact.Transport</v>
      </c>
      <c r="B70" s="530" t="s">
        <v>219</v>
      </c>
      <c r="C70" s="530" t="str">
        <f t="shared" si="1"/>
        <v>2012.Economic Impact.Transport</v>
      </c>
      <c r="D70" s="530" t="s">
        <v>231</v>
      </c>
      <c r="E70" s="530" t="s">
        <v>17</v>
      </c>
      <c r="F70" s="530" t="s">
        <v>52</v>
      </c>
      <c r="G70" s="530" t="s">
        <v>52</v>
      </c>
      <c r="H70" s="530">
        <v>629.07293547039535</v>
      </c>
      <c r="I70" s="530">
        <v>1563.4367106284333</v>
      </c>
      <c r="J70" s="530">
        <v>2750.4449808764471</v>
      </c>
      <c r="K70" s="530">
        <v>5021.6725269081944</v>
      </c>
      <c r="L70" s="530">
        <v>5162.491788217807</v>
      </c>
      <c r="M70" s="530">
        <v>5428.6549709711517</v>
      </c>
      <c r="N70" s="530">
        <v>6932.9362332361279</v>
      </c>
      <c r="O70" s="530">
        <v>7951.2196700999057</v>
      </c>
      <c r="P70" s="530">
        <v>5433.2674043200132</v>
      </c>
      <c r="Q70" s="530">
        <v>4030.7569912467416</v>
      </c>
      <c r="R70" s="530">
        <v>1728.2510197040128</v>
      </c>
      <c r="S70" s="530">
        <v>879.69781915930912</v>
      </c>
      <c r="T70" s="530">
        <v>47511.903050838533</v>
      </c>
      <c r="U70" s="530" t="s">
        <v>57</v>
      </c>
    </row>
    <row r="71" spans="1:21" ht="13.8" x14ac:dyDescent="0.3">
      <c r="A71" s="530" t="str">
        <f t="shared" si="0"/>
        <v>Conwy.2012.Economic Impact.Direct Expenditure</v>
      </c>
      <c r="B71" s="530" t="s">
        <v>219</v>
      </c>
      <c r="C71" s="530" t="str">
        <f t="shared" si="1"/>
        <v>2012.Economic Impact.Direct Expenditure</v>
      </c>
      <c r="D71" s="530" t="s">
        <v>231</v>
      </c>
      <c r="E71" s="530" t="s">
        <v>17</v>
      </c>
      <c r="F71" s="530" t="s">
        <v>44</v>
      </c>
      <c r="G71" s="530" t="s">
        <v>44</v>
      </c>
      <c r="H71" s="530">
        <v>8363.7057806054108</v>
      </c>
      <c r="I71" s="530">
        <v>18992.655335091251</v>
      </c>
      <c r="J71" s="530">
        <v>30707.771073807944</v>
      </c>
      <c r="K71" s="530">
        <v>52035.608013248144</v>
      </c>
      <c r="L71" s="530">
        <v>54161.221907765197</v>
      </c>
      <c r="M71" s="530">
        <v>56289.53606904755</v>
      </c>
      <c r="N71" s="530">
        <v>73511.012942202404</v>
      </c>
      <c r="O71" s="530">
        <v>86236.632932558845</v>
      </c>
      <c r="P71" s="530">
        <v>61662.907656673655</v>
      </c>
      <c r="Q71" s="530">
        <v>42749.135236532049</v>
      </c>
      <c r="R71" s="530">
        <v>21061.938774233869</v>
      </c>
      <c r="S71" s="530">
        <v>12480.000936518181</v>
      </c>
      <c r="T71" s="530">
        <v>518252.12665828451</v>
      </c>
      <c r="U71" s="530" t="s">
        <v>57</v>
      </c>
    </row>
    <row r="72" spans="1:21" ht="13.8" x14ac:dyDescent="0.3">
      <c r="A72" s="530" t="str">
        <f t="shared" si="0"/>
        <v>Conwy.2012.Population.Total</v>
      </c>
      <c r="B72" s="530" t="s">
        <v>219</v>
      </c>
      <c r="C72" s="530" t="str">
        <f t="shared" si="1"/>
        <v>2012.Population.Total</v>
      </c>
      <c r="D72" s="530" t="s">
        <v>231</v>
      </c>
      <c r="E72" s="530" t="s">
        <v>19</v>
      </c>
      <c r="F72" s="530" t="s">
        <v>54</v>
      </c>
      <c r="G72" s="530" t="s">
        <v>54</v>
      </c>
      <c r="H72" s="530">
        <v>115200</v>
      </c>
      <c r="I72" s="530">
        <v>115200</v>
      </c>
      <c r="J72" s="530">
        <v>115200</v>
      </c>
      <c r="K72" s="530">
        <v>115200</v>
      </c>
      <c r="L72" s="530">
        <v>115200</v>
      </c>
      <c r="M72" s="530">
        <v>115200</v>
      </c>
      <c r="N72" s="530">
        <v>115200</v>
      </c>
      <c r="O72" s="530">
        <v>115200</v>
      </c>
      <c r="P72" s="530">
        <v>115200</v>
      </c>
      <c r="Q72" s="530">
        <v>115200</v>
      </c>
      <c r="R72" s="530">
        <v>115200</v>
      </c>
      <c r="S72" s="530">
        <v>115200</v>
      </c>
      <c r="T72" s="530">
        <v>115200</v>
      </c>
      <c r="U72" s="530" t="s">
        <v>60</v>
      </c>
    </row>
    <row r="73" spans="1:21" ht="13.8" x14ac:dyDescent="0.3">
      <c r="A73" s="530" t="str">
        <f t="shared" ref="A73:A136" si="2">B73&amp;"."&amp;D73&amp;"."&amp;E73&amp;"."&amp;F73</f>
        <v>Conwy.2012.Employment.Serviced Accommodation</v>
      </c>
      <c r="B73" s="530" t="s">
        <v>219</v>
      </c>
      <c r="C73" s="530" t="str">
        <f t="shared" ref="C73:C136" si="3">D73&amp;"."&amp;E73&amp;"."&amp;F73</f>
        <v>2012.Employment.Serviced Accommodation</v>
      </c>
      <c r="D73" s="530" t="s">
        <v>231</v>
      </c>
      <c r="E73" s="530" t="s">
        <v>20</v>
      </c>
      <c r="F73" s="530" t="s">
        <v>43</v>
      </c>
      <c r="G73" s="530" t="s">
        <v>43</v>
      </c>
      <c r="H73" s="530">
        <v>2166.9101254737971</v>
      </c>
      <c r="I73" s="530">
        <v>2592.7837829833284</v>
      </c>
      <c r="J73" s="530">
        <v>2935.4319684196012</v>
      </c>
      <c r="K73" s="530">
        <v>3135.0765676460278</v>
      </c>
      <c r="L73" s="530">
        <v>3371.2140686956081</v>
      </c>
      <c r="M73" s="530">
        <v>3364.0905301801699</v>
      </c>
      <c r="N73" s="530">
        <v>3213.8485330096473</v>
      </c>
      <c r="O73" s="530">
        <v>3482.9628571685953</v>
      </c>
      <c r="P73" s="530">
        <v>3218.5584536118458</v>
      </c>
      <c r="Q73" s="530">
        <v>3087.5899802834447</v>
      </c>
      <c r="R73" s="530">
        <v>2890.2567188950393</v>
      </c>
      <c r="S73" s="530">
        <v>2542.0757437764146</v>
      </c>
      <c r="T73" s="530">
        <v>3000.0666108452933</v>
      </c>
      <c r="U73" s="530" t="s">
        <v>59</v>
      </c>
    </row>
    <row r="74" spans="1:21" ht="13.8" x14ac:dyDescent="0.3">
      <c r="A74" s="530" t="str">
        <f t="shared" si="2"/>
        <v>Conwy.2012.Employment.Non-Serviced Accommodation</v>
      </c>
      <c r="B74" s="530" t="s">
        <v>219</v>
      </c>
      <c r="C74" s="530" t="str">
        <f t="shared" si="3"/>
        <v>2012.Employment.Non-Serviced Accommodation</v>
      </c>
      <c r="D74" s="530" t="s">
        <v>231</v>
      </c>
      <c r="E74" s="530" t="s">
        <v>20</v>
      </c>
      <c r="F74" s="530" t="s">
        <v>48</v>
      </c>
      <c r="G74" s="530" t="s">
        <v>48</v>
      </c>
      <c r="H74" s="530">
        <v>864.77850636762685</v>
      </c>
      <c r="I74" s="530">
        <v>1010.8539906962741</v>
      </c>
      <c r="J74" s="530">
        <v>2929.786772766211</v>
      </c>
      <c r="K74" s="530">
        <v>4139.6078800358555</v>
      </c>
      <c r="L74" s="530">
        <v>4432.948780777544</v>
      </c>
      <c r="M74" s="530">
        <v>5047.6766308782608</v>
      </c>
      <c r="N74" s="530">
        <v>6050.9179779195792</v>
      </c>
      <c r="O74" s="530">
        <v>6498.9492202127394</v>
      </c>
      <c r="P74" s="530">
        <v>4966.6545255655474</v>
      </c>
      <c r="Q74" s="530">
        <v>4316.1124898051894</v>
      </c>
      <c r="R74" s="530">
        <v>2199.4194023186656</v>
      </c>
      <c r="S74" s="530">
        <v>1140.9976880880902</v>
      </c>
      <c r="T74" s="530">
        <v>3633.2253221192987</v>
      </c>
      <c r="U74" s="530" t="s">
        <v>59</v>
      </c>
    </row>
    <row r="75" spans="1:21" ht="13.8" x14ac:dyDescent="0.3">
      <c r="A75" s="530" t="str">
        <f t="shared" si="2"/>
        <v>Conwy.2012.Employment.SFR</v>
      </c>
      <c r="B75" s="530" t="s">
        <v>219</v>
      </c>
      <c r="C75" s="530" t="str">
        <f t="shared" si="3"/>
        <v>2012.Employment.SFR</v>
      </c>
      <c r="D75" s="530" t="s">
        <v>231</v>
      </c>
      <c r="E75" s="530" t="s">
        <v>20</v>
      </c>
      <c r="F75" s="530" t="s">
        <v>18</v>
      </c>
      <c r="G75" s="530" t="s">
        <v>18</v>
      </c>
      <c r="H75" s="530">
        <v>248.4022372734816</v>
      </c>
      <c r="I75" s="530">
        <v>83.463151723889823</v>
      </c>
      <c r="J75" s="530">
        <v>94.944855135641902</v>
      </c>
      <c r="K75" s="530">
        <v>226.54284039341519</v>
      </c>
      <c r="L75" s="530">
        <v>145.7293125337759</v>
      </c>
      <c r="M75" s="530">
        <v>112.25793906863183</v>
      </c>
      <c r="N75" s="530">
        <v>182.1616406672199</v>
      </c>
      <c r="O75" s="530">
        <v>192.83520880037551</v>
      </c>
      <c r="P75" s="530">
        <v>99.325787393191348</v>
      </c>
      <c r="Q75" s="530">
        <v>99.228413716180143</v>
      </c>
      <c r="R75" s="530">
        <v>77.319336388659025</v>
      </c>
      <c r="S75" s="530">
        <v>223.89321652916482</v>
      </c>
      <c r="T75" s="530">
        <v>148.84199496863559</v>
      </c>
      <c r="U75" s="530" t="s">
        <v>59</v>
      </c>
    </row>
    <row r="76" spans="1:21" ht="13.8" x14ac:dyDescent="0.3">
      <c r="A76" s="530" t="str">
        <f t="shared" si="2"/>
        <v>Conwy.2012.Employment.Day Visitor</v>
      </c>
      <c r="B76" s="530" t="s">
        <v>219</v>
      </c>
      <c r="C76" s="530" t="str">
        <f t="shared" si="3"/>
        <v>2012.Employment.Day Visitor</v>
      </c>
      <c r="D76" s="530" t="s">
        <v>231</v>
      </c>
      <c r="E76" s="530" t="s">
        <v>20</v>
      </c>
      <c r="F76" s="530" t="s">
        <v>71</v>
      </c>
      <c r="G76" s="530" t="s">
        <v>71</v>
      </c>
      <c r="H76" s="530">
        <v>330.3165852996384</v>
      </c>
      <c r="I76" s="530">
        <v>1656.4014890181338</v>
      </c>
      <c r="J76" s="530">
        <v>1592.4856664805691</v>
      </c>
      <c r="K76" s="530">
        <v>3832.0676686523429</v>
      </c>
      <c r="L76" s="530">
        <v>3565.9969110423649</v>
      </c>
      <c r="M76" s="530">
        <v>3237.0413496703136</v>
      </c>
      <c r="N76" s="530">
        <v>4810.7140636644071</v>
      </c>
      <c r="O76" s="530">
        <v>5719.6625517221737</v>
      </c>
      <c r="P76" s="530">
        <v>3585.9620692542539</v>
      </c>
      <c r="Q76" s="530">
        <v>2043.7234197787873</v>
      </c>
      <c r="R76" s="530">
        <v>511.82527074481953</v>
      </c>
      <c r="S76" s="530">
        <v>216.96504905422273</v>
      </c>
      <c r="T76" s="530">
        <v>2591.9301745318353</v>
      </c>
      <c r="U76" s="530" t="s">
        <v>59</v>
      </c>
    </row>
    <row r="77" spans="1:21" ht="13.8" x14ac:dyDescent="0.3">
      <c r="A77" s="530" t="str">
        <f t="shared" si="2"/>
        <v>Conwy.2012.Employment.Direct Employment</v>
      </c>
      <c r="B77" s="530" t="s">
        <v>219</v>
      </c>
      <c r="C77" s="530" t="str">
        <f t="shared" si="3"/>
        <v>2012.Employment.Direct Employment</v>
      </c>
      <c r="D77" s="530" t="s">
        <v>231</v>
      </c>
      <c r="E77" s="530" t="s">
        <v>20</v>
      </c>
      <c r="F77" s="530" t="s">
        <v>55</v>
      </c>
      <c r="G77" s="530" t="s">
        <v>55</v>
      </c>
      <c r="H77" s="530">
        <v>3610.4074544145442</v>
      </c>
      <c r="I77" s="530">
        <v>5343.5024144216259</v>
      </c>
      <c r="J77" s="530">
        <v>7552.6492628020233</v>
      </c>
      <c r="K77" s="530">
        <v>11333.294956727641</v>
      </c>
      <c r="L77" s="530">
        <v>11515.889073049293</v>
      </c>
      <c r="M77" s="530">
        <v>11761.066449797376</v>
      </c>
      <c r="N77" s="530">
        <v>14257.642215260854</v>
      </c>
      <c r="O77" s="530">
        <v>15894.409837903884</v>
      </c>
      <c r="P77" s="530">
        <v>11870.500835824838</v>
      </c>
      <c r="Q77" s="530">
        <v>9546.6543035836021</v>
      </c>
      <c r="R77" s="530">
        <v>5678.8207283471829</v>
      </c>
      <c r="S77" s="530">
        <v>4123.9316974478925</v>
      </c>
      <c r="T77" s="530">
        <v>9374.0641024650631</v>
      </c>
      <c r="U77" s="530" t="s">
        <v>59</v>
      </c>
    </row>
    <row r="78" spans="1:21" ht="13.8" x14ac:dyDescent="0.3">
      <c r="A78" s="530" t="str">
        <f t="shared" si="2"/>
        <v>Conwy.2012.Employment.Indirect Employment</v>
      </c>
      <c r="B78" s="530" t="s">
        <v>219</v>
      </c>
      <c r="C78" s="530" t="str">
        <f t="shared" si="3"/>
        <v>2012.Employment.Indirect Employment</v>
      </c>
      <c r="D78" s="530" t="s">
        <v>231</v>
      </c>
      <c r="E78" s="530" t="s">
        <v>20</v>
      </c>
      <c r="F78" s="530" t="s">
        <v>53</v>
      </c>
      <c r="G78" s="530" t="s">
        <v>53</v>
      </c>
      <c r="H78" s="530">
        <v>412.90329507676972</v>
      </c>
      <c r="I78" s="530">
        <v>974.49556631553594</v>
      </c>
      <c r="J78" s="530">
        <v>1584.5439041013192</v>
      </c>
      <c r="K78" s="530">
        <v>2744.5450897946098</v>
      </c>
      <c r="L78" s="530">
        <v>2823.6742436460704</v>
      </c>
      <c r="M78" s="530">
        <v>2947.1291740077509</v>
      </c>
      <c r="N78" s="530">
        <v>3887.4533026338536</v>
      </c>
      <c r="O78" s="530">
        <v>4538.5509221115262</v>
      </c>
      <c r="P78" s="530">
        <v>3233.8166278749964</v>
      </c>
      <c r="Q78" s="530">
        <v>2230.7956213356356</v>
      </c>
      <c r="R78" s="530">
        <v>1051.6307552673481</v>
      </c>
      <c r="S78" s="530">
        <v>617.37396441590352</v>
      </c>
      <c r="T78" s="530">
        <v>2253.9093722151101</v>
      </c>
      <c r="U78" s="530" t="s">
        <v>59</v>
      </c>
    </row>
    <row r="79" spans="1:21" ht="13.8" x14ac:dyDescent="0.3">
      <c r="A79" s="530" t="str">
        <f t="shared" si="2"/>
        <v>Conwy.2012.Employment.Total</v>
      </c>
      <c r="B79" s="530" t="s">
        <v>219</v>
      </c>
      <c r="C79" s="530" t="str">
        <f t="shared" si="3"/>
        <v>2012.Employment.Total</v>
      </c>
      <c r="D79" s="530" t="s">
        <v>231</v>
      </c>
      <c r="E79" s="530" t="s">
        <v>20</v>
      </c>
      <c r="F79" s="530" t="s">
        <v>54</v>
      </c>
      <c r="G79" s="530" t="s">
        <v>54</v>
      </c>
      <c r="H79" s="530">
        <v>4023.3107494913138</v>
      </c>
      <c r="I79" s="530">
        <v>6317.9979807371619</v>
      </c>
      <c r="J79" s="530">
        <v>9137.193166903342</v>
      </c>
      <c r="K79" s="530">
        <v>14077.840046522251</v>
      </c>
      <c r="L79" s="530">
        <v>14339.563316695363</v>
      </c>
      <c r="M79" s="530">
        <v>14708.195623805126</v>
      </c>
      <c r="N79" s="530">
        <v>18145.095517894708</v>
      </c>
      <c r="O79" s="530">
        <v>20432.960760015412</v>
      </c>
      <c r="P79" s="530">
        <v>15104.317463699834</v>
      </c>
      <c r="Q79" s="530">
        <v>11777.449924919238</v>
      </c>
      <c r="R79" s="530">
        <v>6730.4514836145308</v>
      </c>
      <c r="S79" s="530">
        <v>4741.3056618637956</v>
      </c>
      <c r="T79" s="530">
        <v>11627.973474680175</v>
      </c>
      <c r="U79" s="530" t="s">
        <v>59</v>
      </c>
    </row>
    <row r="80" spans="1:21" ht="13.8" x14ac:dyDescent="0.3">
      <c r="A80" s="530" t="str">
        <f t="shared" si="2"/>
        <v>Conwy.2012.Employment.Accommodation</v>
      </c>
      <c r="B80" s="530" t="s">
        <v>219</v>
      </c>
      <c r="C80" s="530" t="str">
        <f t="shared" si="3"/>
        <v>2012.Employment.Accommodation</v>
      </c>
      <c r="D80" s="530" t="s">
        <v>231</v>
      </c>
      <c r="E80" s="530" t="s">
        <v>20</v>
      </c>
      <c r="F80" s="530" t="s">
        <v>23</v>
      </c>
      <c r="G80" s="530" t="s">
        <v>23</v>
      </c>
      <c r="H80" s="530">
        <v>2581.9</v>
      </c>
      <c r="I80" s="530">
        <v>2787.1</v>
      </c>
      <c r="J80" s="530">
        <v>3245.1000000000004</v>
      </c>
      <c r="K80" s="530">
        <v>3390.5</v>
      </c>
      <c r="L80" s="530">
        <v>3430.8832879906722</v>
      </c>
      <c r="M80" s="530">
        <v>3414.3</v>
      </c>
      <c r="N80" s="530">
        <v>3415.8</v>
      </c>
      <c r="O80" s="530">
        <v>3445.3369827305314</v>
      </c>
      <c r="P80" s="530">
        <v>3411.6</v>
      </c>
      <c r="Q80" s="530">
        <v>3348.2</v>
      </c>
      <c r="R80" s="530">
        <v>3070.8999999999996</v>
      </c>
      <c r="S80" s="530">
        <v>2753.1</v>
      </c>
      <c r="T80" s="530">
        <v>3191.2266892267667</v>
      </c>
      <c r="U80" s="530" t="s">
        <v>59</v>
      </c>
    </row>
    <row r="81" spans="1:21" ht="13.8" x14ac:dyDescent="0.3">
      <c r="A81" s="530" t="str">
        <f t="shared" si="2"/>
        <v>Conwy.2012.Employment.Food &amp; Drink</v>
      </c>
      <c r="B81" s="530" t="s">
        <v>219</v>
      </c>
      <c r="C81" s="530" t="str">
        <f t="shared" si="3"/>
        <v>2012.Employment.Food &amp; Drink</v>
      </c>
      <c r="D81" s="530" t="s">
        <v>231</v>
      </c>
      <c r="E81" s="530" t="s">
        <v>20</v>
      </c>
      <c r="F81" s="530" t="s">
        <v>49</v>
      </c>
      <c r="G81" s="530" t="s">
        <v>49</v>
      </c>
      <c r="H81" s="530">
        <v>351.06363440877368</v>
      </c>
      <c r="I81" s="530">
        <v>753.37532822610183</v>
      </c>
      <c r="J81" s="530">
        <v>1491.009599249538</v>
      </c>
      <c r="K81" s="530">
        <v>2599.4739454617206</v>
      </c>
      <c r="L81" s="530">
        <v>2700.534574659257</v>
      </c>
      <c r="M81" s="530">
        <v>2815.1332605267285</v>
      </c>
      <c r="N81" s="530">
        <v>3628.2225266870746</v>
      </c>
      <c r="O81" s="530">
        <v>4113.6211922332286</v>
      </c>
      <c r="P81" s="530">
        <v>2842.0693183972426</v>
      </c>
      <c r="Q81" s="530">
        <v>2160.2072964654849</v>
      </c>
      <c r="R81" s="530">
        <v>950.23655246203305</v>
      </c>
      <c r="S81" s="530">
        <v>486.03720605713056</v>
      </c>
      <c r="T81" s="530">
        <v>2074.2487029028598</v>
      </c>
      <c r="U81" s="530" t="s">
        <v>59</v>
      </c>
    </row>
    <row r="82" spans="1:21" ht="13.8" x14ac:dyDescent="0.3">
      <c r="A82" s="530" t="str">
        <f t="shared" si="2"/>
        <v>Conwy.2012.Employment.Recreation</v>
      </c>
      <c r="B82" s="530" t="s">
        <v>219</v>
      </c>
      <c r="C82" s="530" t="str">
        <f t="shared" si="3"/>
        <v>2012.Employment.Recreation</v>
      </c>
      <c r="D82" s="530" t="s">
        <v>231</v>
      </c>
      <c r="E82" s="530" t="s">
        <v>20</v>
      </c>
      <c r="F82" s="530" t="s">
        <v>50</v>
      </c>
      <c r="G82" s="530" t="s">
        <v>50</v>
      </c>
      <c r="H82" s="530">
        <v>127.59994231995114</v>
      </c>
      <c r="I82" s="530">
        <v>287.59098574696685</v>
      </c>
      <c r="J82" s="530">
        <v>526.44891450565717</v>
      </c>
      <c r="K82" s="530">
        <v>963.88044553376517</v>
      </c>
      <c r="L82" s="530">
        <v>979.21803414872875</v>
      </c>
      <c r="M82" s="530">
        <v>1104.8900287814761</v>
      </c>
      <c r="N82" s="530">
        <v>1340.0629722768306</v>
      </c>
      <c r="O82" s="530">
        <v>1541.9864657549999</v>
      </c>
      <c r="P82" s="530">
        <v>1093.1700295241214</v>
      </c>
      <c r="Q82" s="530">
        <v>822.07819145006738</v>
      </c>
      <c r="R82" s="530">
        <v>356.96826879638542</v>
      </c>
      <c r="S82" s="530">
        <v>189.84581923799698</v>
      </c>
      <c r="T82" s="530">
        <v>777.81167483974548</v>
      </c>
      <c r="U82" s="530" t="s">
        <v>59</v>
      </c>
    </row>
    <row r="83" spans="1:21" ht="13.8" x14ac:dyDescent="0.3">
      <c r="A83" s="530" t="str">
        <f t="shared" si="2"/>
        <v>Conwy.2012.Employment.Shopping</v>
      </c>
      <c r="B83" s="530" t="s">
        <v>219</v>
      </c>
      <c r="C83" s="530" t="str">
        <f t="shared" si="3"/>
        <v>2012.Employment.Shopping</v>
      </c>
      <c r="D83" s="530" t="s">
        <v>231</v>
      </c>
      <c r="E83" s="530" t="s">
        <v>20</v>
      </c>
      <c r="F83" s="530" t="s">
        <v>51</v>
      </c>
      <c r="G83" s="530" t="s">
        <v>51</v>
      </c>
      <c r="H83" s="530">
        <v>480.47537190014771</v>
      </c>
      <c r="I83" s="530">
        <v>1343.0343606953409</v>
      </c>
      <c r="J83" s="530">
        <v>1986.7964125539863</v>
      </c>
      <c r="K83" s="530">
        <v>3825.6956816415732</v>
      </c>
      <c r="L83" s="530">
        <v>3835.9800104742649</v>
      </c>
      <c r="M83" s="530">
        <v>3828.1199126448892</v>
      </c>
      <c r="N83" s="530">
        <v>5109.0548595332148</v>
      </c>
      <c r="O83" s="530">
        <v>5916.676200888488</v>
      </c>
      <c r="P83" s="530">
        <v>3924.5296223911832</v>
      </c>
      <c r="Q83" s="530">
        <v>2771.6931850977176</v>
      </c>
      <c r="R83" s="530">
        <v>1110.1399275804695</v>
      </c>
      <c r="S83" s="530">
        <v>597.94350817704208</v>
      </c>
      <c r="T83" s="530">
        <v>2894.1782544648599</v>
      </c>
      <c r="U83" s="530" t="s">
        <v>59</v>
      </c>
    </row>
    <row r="84" spans="1:21" ht="13.8" x14ac:dyDescent="0.3">
      <c r="A84" s="530" t="str">
        <f t="shared" si="2"/>
        <v>Conwy.2012.Employment.Transport</v>
      </c>
      <c r="B84" s="530" t="s">
        <v>219</v>
      </c>
      <c r="C84" s="530" t="str">
        <f t="shared" si="3"/>
        <v>2012.Employment.Transport</v>
      </c>
      <c r="D84" s="530" t="s">
        <v>231</v>
      </c>
      <c r="E84" s="530" t="s">
        <v>20</v>
      </c>
      <c r="F84" s="530" t="s">
        <v>52</v>
      </c>
      <c r="G84" s="530" t="s">
        <v>52</v>
      </c>
      <c r="H84" s="530">
        <v>69.36850578567109</v>
      </c>
      <c r="I84" s="530">
        <v>172.40173975321648</v>
      </c>
      <c r="J84" s="530">
        <v>303.29433649284175</v>
      </c>
      <c r="K84" s="530">
        <v>553.74488409058267</v>
      </c>
      <c r="L84" s="530">
        <v>569.27316577637055</v>
      </c>
      <c r="M84" s="530">
        <v>598.62324784428188</v>
      </c>
      <c r="N84" s="530">
        <v>764.50185676373269</v>
      </c>
      <c r="O84" s="530">
        <v>876.78899629663704</v>
      </c>
      <c r="P84" s="530">
        <v>599.13186551229091</v>
      </c>
      <c r="Q84" s="530">
        <v>444.47563057033204</v>
      </c>
      <c r="R84" s="530">
        <v>190.57597950829614</v>
      </c>
      <c r="S84" s="530">
        <v>97.005163975722454</v>
      </c>
      <c r="T84" s="530">
        <v>436.59878103083128</v>
      </c>
      <c r="U84" s="530" t="s">
        <v>59</v>
      </c>
    </row>
    <row r="85" spans="1:21" ht="13.8" x14ac:dyDescent="0.3">
      <c r="A85" s="530" t="str">
        <f t="shared" si="2"/>
        <v>Conwy.2012.Visitor Days.Serviced Accommodation</v>
      </c>
      <c r="B85" s="530" t="s">
        <v>219</v>
      </c>
      <c r="C85" s="530" t="str">
        <f t="shared" si="3"/>
        <v>2012.Visitor Days.Serviced Accommodation</v>
      </c>
      <c r="D85" s="530" t="s">
        <v>231</v>
      </c>
      <c r="E85" s="530" t="s">
        <v>171</v>
      </c>
      <c r="F85" s="530" t="s">
        <v>43</v>
      </c>
      <c r="G85" s="530" t="s">
        <v>43</v>
      </c>
      <c r="H85" s="530">
        <v>67.866785283723814</v>
      </c>
      <c r="I85" s="530">
        <v>117.44608420195614</v>
      </c>
      <c r="J85" s="530">
        <v>143.87867220317511</v>
      </c>
      <c r="K85" s="530">
        <v>164.21186999961552</v>
      </c>
      <c r="L85" s="530">
        <v>208.21485692705289</v>
      </c>
      <c r="M85" s="530">
        <v>206.18439504888312</v>
      </c>
      <c r="N85" s="530">
        <v>173.4249181542198</v>
      </c>
      <c r="O85" s="530">
        <v>226.48028550346305</v>
      </c>
      <c r="P85" s="530">
        <v>176.56598889892089</v>
      </c>
      <c r="Q85" s="530">
        <v>162.7161150804792</v>
      </c>
      <c r="R85" s="530">
        <v>146.81634525130275</v>
      </c>
      <c r="S85" s="530">
        <v>113.17671987949947</v>
      </c>
      <c r="T85" s="530">
        <v>1906.9830364322918</v>
      </c>
      <c r="U85" s="530" t="s">
        <v>61</v>
      </c>
    </row>
    <row r="86" spans="1:21" ht="13.8" x14ac:dyDescent="0.3">
      <c r="A86" s="530" t="str">
        <f t="shared" si="2"/>
        <v>Conwy.2012.Visitor Days.Non-Serviced Accommodation</v>
      </c>
      <c r="B86" s="530" t="s">
        <v>219</v>
      </c>
      <c r="C86" s="530" t="str">
        <f t="shared" si="3"/>
        <v>2012.Visitor Days.Non-Serviced Accommodation</v>
      </c>
      <c r="D86" s="530" t="s">
        <v>231</v>
      </c>
      <c r="E86" s="530" t="s">
        <v>171</v>
      </c>
      <c r="F86" s="530" t="s">
        <v>48</v>
      </c>
      <c r="G86" s="530" t="s">
        <v>48</v>
      </c>
      <c r="H86" s="530">
        <v>26.064463352169572</v>
      </c>
      <c r="I86" s="530">
        <v>53.448389023022841</v>
      </c>
      <c r="J86" s="530">
        <v>478.93546143804548</v>
      </c>
      <c r="K86" s="530">
        <v>733.01141907786086</v>
      </c>
      <c r="L86" s="530">
        <v>804.77914454525251</v>
      </c>
      <c r="M86" s="530">
        <v>925.8701379967323</v>
      </c>
      <c r="N86" s="530">
        <v>1186.1868595618112</v>
      </c>
      <c r="O86" s="530">
        <v>1280.5183136697722</v>
      </c>
      <c r="P86" s="530">
        <v>931.30610942343674</v>
      </c>
      <c r="Q86" s="530">
        <v>784.47458574779171</v>
      </c>
      <c r="R86" s="530">
        <v>315.03107360483017</v>
      </c>
      <c r="S86" s="530">
        <v>83.065928416325306</v>
      </c>
      <c r="T86" s="530">
        <v>7602.6918858570525</v>
      </c>
      <c r="U86" s="530" t="s">
        <v>61</v>
      </c>
    </row>
    <row r="87" spans="1:21" ht="13.8" x14ac:dyDescent="0.3">
      <c r="A87" s="530" t="str">
        <f t="shared" si="2"/>
        <v>Conwy.2012.Visitor Days.SFR</v>
      </c>
      <c r="B87" s="530" t="s">
        <v>219</v>
      </c>
      <c r="C87" s="530" t="str">
        <f t="shared" si="3"/>
        <v>2012.Visitor Days.SFR</v>
      </c>
      <c r="D87" s="530" t="s">
        <v>231</v>
      </c>
      <c r="E87" s="530" t="s">
        <v>171</v>
      </c>
      <c r="F87" s="530" t="s">
        <v>18</v>
      </c>
      <c r="G87" s="530" t="s">
        <v>18</v>
      </c>
      <c r="H87" s="530">
        <v>58.909090909090899</v>
      </c>
      <c r="I87" s="530">
        <v>19.793454545454544</v>
      </c>
      <c r="J87" s="530">
        <v>22.516363636363639</v>
      </c>
      <c r="K87" s="530">
        <v>53.725090909090902</v>
      </c>
      <c r="L87" s="530">
        <v>34.56</v>
      </c>
      <c r="M87" s="530">
        <v>26.622196363636363</v>
      </c>
      <c r="N87" s="530">
        <v>43.2</v>
      </c>
      <c r="O87" s="530">
        <v>45.731258181818177</v>
      </c>
      <c r="P87" s="530">
        <v>23.555310545454546</v>
      </c>
      <c r="Q87" s="530">
        <v>23.53221818181818</v>
      </c>
      <c r="R87" s="530">
        <v>18.336436363636359</v>
      </c>
      <c r="S87" s="530">
        <v>53.096727272727279</v>
      </c>
      <c r="T87" s="530">
        <v>423.57814690909089</v>
      </c>
      <c r="U87" s="530" t="s">
        <v>61</v>
      </c>
    </row>
    <row r="88" spans="1:21" ht="13.8" x14ac:dyDescent="0.3">
      <c r="A88" s="530" t="str">
        <f t="shared" si="2"/>
        <v>Conwy.2012.Visitor Days.Day Visitor</v>
      </c>
      <c r="B88" s="530" t="s">
        <v>219</v>
      </c>
      <c r="C88" s="530" t="str">
        <f t="shared" si="3"/>
        <v>2012.Visitor Days.Day Visitor</v>
      </c>
      <c r="D88" s="530" t="s">
        <v>231</v>
      </c>
      <c r="E88" s="530" t="s">
        <v>171</v>
      </c>
      <c r="F88" s="530" t="s">
        <v>71</v>
      </c>
      <c r="G88" s="530" t="s">
        <v>71</v>
      </c>
      <c r="H88" s="530">
        <v>59.172945255230161</v>
      </c>
      <c r="I88" s="530">
        <v>296.72792403518179</v>
      </c>
      <c r="J88" s="530">
        <v>285.27803736198467</v>
      </c>
      <c r="K88" s="530">
        <v>686.47697531084521</v>
      </c>
      <c r="L88" s="530">
        <v>638.8130338838929</v>
      </c>
      <c r="M88" s="530">
        <v>579.88390258758068</v>
      </c>
      <c r="N88" s="530">
        <v>861.79178580922257</v>
      </c>
      <c r="O88" s="530">
        <v>1024.6209064689576</v>
      </c>
      <c r="P88" s="530">
        <v>642.38959427008263</v>
      </c>
      <c r="Q88" s="530">
        <v>366.11281242720668</v>
      </c>
      <c r="R88" s="530">
        <v>91.688428840329607</v>
      </c>
      <c r="S88" s="530">
        <v>38.867140014594668</v>
      </c>
      <c r="T88" s="530">
        <v>5571.8234862651088</v>
      </c>
      <c r="U88" s="530" t="s">
        <v>61</v>
      </c>
    </row>
    <row r="89" spans="1:21" ht="13.8" x14ac:dyDescent="0.3">
      <c r="A89" s="530" t="str">
        <f t="shared" si="2"/>
        <v>Conwy.2012.Visitor Days.Total</v>
      </c>
      <c r="B89" s="530" t="s">
        <v>219</v>
      </c>
      <c r="C89" s="530" t="str">
        <f t="shared" si="3"/>
        <v>2012.Visitor Days.Total</v>
      </c>
      <c r="D89" s="530" t="s">
        <v>231</v>
      </c>
      <c r="E89" s="530" t="s">
        <v>171</v>
      </c>
      <c r="F89" s="530" t="s">
        <v>54</v>
      </c>
      <c r="G89" s="530" t="s">
        <v>54</v>
      </c>
      <c r="H89" s="530">
        <v>212.01328480021445</v>
      </c>
      <c r="I89" s="530">
        <v>487.41585180561532</v>
      </c>
      <c r="J89" s="530">
        <v>930.60853463956892</v>
      </c>
      <c r="K89" s="530">
        <v>1637.4253552974124</v>
      </c>
      <c r="L89" s="530">
        <v>1686.3670353561984</v>
      </c>
      <c r="M89" s="530">
        <v>1738.5606319968326</v>
      </c>
      <c r="N89" s="530">
        <v>2264.6035635252538</v>
      </c>
      <c r="O89" s="530">
        <v>2577.3507638240108</v>
      </c>
      <c r="P89" s="530">
        <v>1773.817003137895</v>
      </c>
      <c r="Q89" s="530">
        <v>1336.8357314372956</v>
      </c>
      <c r="R89" s="530">
        <v>571.87228406009888</v>
      </c>
      <c r="S89" s="530">
        <v>288.20651558314671</v>
      </c>
      <c r="T89" s="530">
        <v>15505.07655546354</v>
      </c>
      <c r="U89" s="530" t="s">
        <v>61</v>
      </c>
    </row>
    <row r="90" spans="1:21" ht="13.8" x14ac:dyDescent="0.3">
      <c r="A90" s="530" t="str">
        <f t="shared" si="2"/>
        <v>Conwy.2012.Visitor Numbers.Serviced Accommodation</v>
      </c>
      <c r="B90" s="530" t="s">
        <v>219</v>
      </c>
      <c r="C90" s="530" t="str">
        <f t="shared" si="3"/>
        <v>2012.Visitor Numbers.Serviced Accommodation</v>
      </c>
      <c r="D90" s="530" t="s">
        <v>231</v>
      </c>
      <c r="E90" s="530" t="s">
        <v>172</v>
      </c>
      <c r="F90" s="530" t="s">
        <v>43</v>
      </c>
      <c r="G90" s="530" t="s">
        <v>43</v>
      </c>
      <c r="H90" s="530">
        <v>44.182858928852895</v>
      </c>
      <c r="I90" s="530">
        <v>78.569909838464241</v>
      </c>
      <c r="J90" s="530">
        <v>69.56540001398939</v>
      </c>
      <c r="K90" s="530">
        <v>90.20958040744938</v>
      </c>
      <c r="L90" s="530">
        <v>110.62209585347264</v>
      </c>
      <c r="M90" s="530">
        <v>115.80931744327904</v>
      </c>
      <c r="N90" s="530">
        <v>99.800210794603217</v>
      </c>
      <c r="O90" s="530">
        <v>128.56262117814032</v>
      </c>
      <c r="P90" s="530">
        <v>89.488368276824986</v>
      </c>
      <c r="Q90" s="530">
        <v>94.533246612483339</v>
      </c>
      <c r="R90" s="530">
        <v>85.412198245397505</v>
      </c>
      <c r="S90" s="530">
        <v>69.112318232437971</v>
      </c>
      <c r="T90" s="530">
        <v>1075.8681258253948</v>
      </c>
      <c r="U90" s="530" t="s">
        <v>61</v>
      </c>
    </row>
    <row r="91" spans="1:21" ht="13.8" x14ac:dyDescent="0.3">
      <c r="A91" s="530" t="str">
        <f t="shared" si="2"/>
        <v>Conwy.2012.Visitor Numbers.Non-Serviced Accommodation</v>
      </c>
      <c r="B91" s="530" t="s">
        <v>219</v>
      </c>
      <c r="C91" s="530" t="str">
        <f t="shared" si="3"/>
        <v>2012.Visitor Numbers.Non-Serviced Accommodation</v>
      </c>
      <c r="D91" s="530" t="s">
        <v>231</v>
      </c>
      <c r="E91" s="530" t="s">
        <v>172</v>
      </c>
      <c r="F91" s="530" t="s">
        <v>48</v>
      </c>
      <c r="G91" s="530" t="s">
        <v>48</v>
      </c>
      <c r="H91" s="530">
        <v>7.66601863299105</v>
      </c>
      <c r="I91" s="530">
        <v>13.36209725575571</v>
      </c>
      <c r="J91" s="530">
        <v>99.778221132926149</v>
      </c>
      <c r="K91" s="530">
        <v>114.53303423091575</v>
      </c>
      <c r="L91" s="530">
        <v>116.63465862974674</v>
      </c>
      <c r="M91" s="530">
        <v>132.26716257096177</v>
      </c>
      <c r="N91" s="530">
        <v>167.06857176926923</v>
      </c>
      <c r="O91" s="530">
        <v>168.48925179865424</v>
      </c>
      <c r="P91" s="530">
        <v>134.97189991644009</v>
      </c>
      <c r="Q91" s="530">
        <v>112.06779796397025</v>
      </c>
      <c r="R91" s="530">
        <v>70.006905245517828</v>
      </c>
      <c r="S91" s="530">
        <v>14.833201502915234</v>
      </c>
      <c r="T91" s="530">
        <v>1151.6788206500639</v>
      </c>
      <c r="U91" s="530" t="s">
        <v>61</v>
      </c>
    </row>
    <row r="92" spans="1:21" ht="13.8" x14ac:dyDescent="0.3">
      <c r="A92" s="530" t="str">
        <f t="shared" si="2"/>
        <v>Conwy.2012.Visitor Numbers.SFR</v>
      </c>
      <c r="B92" s="530" t="s">
        <v>219</v>
      </c>
      <c r="C92" s="530" t="str">
        <f t="shared" si="3"/>
        <v>2012.Visitor Numbers.SFR</v>
      </c>
      <c r="D92" s="530" t="s">
        <v>231</v>
      </c>
      <c r="E92" s="530" t="s">
        <v>172</v>
      </c>
      <c r="F92" s="530" t="s">
        <v>18</v>
      </c>
      <c r="G92" s="530" t="s">
        <v>18</v>
      </c>
      <c r="H92" s="530">
        <v>23.563636363636359</v>
      </c>
      <c r="I92" s="530">
        <v>9.425454545454544</v>
      </c>
      <c r="J92" s="530">
        <v>10.472727272727274</v>
      </c>
      <c r="K92" s="530">
        <v>19.898181818181815</v>
      </c>
      <c r="L92" s="530">
        <v>15.709090909090909</v>
      </c>
      <c r="M92" s="530">
        <v>12.677236363636363</v>
      </c>
      <c r="N92" s="530">
        <v>17.28</v>
      </c>
      <c r="O92" s="530">
        <v>17.588945454545453</v>
      </c>
      <c r="P92" s="530">
        <v>10.85498181818182</v>
      </c>
      <c r="Q92" s="530">
        <v>10.996363636363634</v>
      </c>
      <c r="R92" s="530">
        <v>9.0327272727272714</v>
      </c>
      <c r="S92" s="530">
        <v>20.421818181818182</v>
      </c>
      <c r="T92" s="530">
        <v>177.92116363636364</v>
      </c>
      <c r="U92" s="530" t="s">
        <v>61</v>
      </c>
    </row>
    <row r="93" spans="1:21" ht="13.8" x14ac:dyDescent="0.3">
      <c r="A93" s="530" t="str">
        <f t="shared" si="2"/>
        <v>Conwy.2012.Visitor Numbers.Day Visitor</v>
      </c>
      <c r="B93" s="530" t="s">
        <v>219</v>
      </c>
      <c r="C93" s="530" t="str">
        <f t="shared" si="3"/>
        <v>2012.Visitor Numbers.Day Visitor</v>
      </c>
      <c r="D93" s="530" t="s">
        <v>231</v>
      </c>
      <c r="E93" s="530" t="s">
        <v>172</v>
      </c>
      <c r="F93" s="530" t="s">
        <v>71</v>
      </c>
      <c r="G93" s="530" t="s">
        <v>71</v>
      </c>
      <c r="H93" s="530">
        <v>59.172945255230161</v>
      </c>
      <c r="I93" s="530">
        <v>296.72792403518179</v>
      </c>
      <c r="J93" s="530">
        <v>285.27803736198467</v>
      </c>
      <c r="K93" s="530">
        <v>686.47697531084521</v>
      </c>
      <c r="L93" s="530">
        <v>638.8130338838929</v>
      </c>
      <c r="M93" s="530">
        <v>579.88390258758068</v>
      </c>
      <c r="N93" s="530">
        <v>861.79178580922257</v>
      </c>
      <c r="O93" s="530">
        <v>1024.6209064689576</v>
      </c>
      <c r="P93" s="530">
        <v>642.38959427008263</v>
      </c>
      <c r="Q93" s="530">
        <v>366.11281242720668</v>
      </c>
      <c r="R93" s="530">
        <v>91.688428840329607</v>
      </c>
      <c r="S93" s="530">
        <v>38.867140014594668</v>
      </c>
      <c r="T93" s="530">
        <v>5571.8234862651088</v>
      </c>
      <c r="U93" s="530" t="s">
        <v>61</v>
      </c>
    </row>
    <row r="94" spans="1:21" ht="13.8" x14ac:dyDescent="0.3">
      <c r="A94" s="530" t="str">
        <f t="shared" si="2"/>
        <v>Conwy.2012.Visitor Numbers.Total</v>
      </c>
      <c r="B94" s="530" t="s">
        <v>219</v>
      </c>
      <c r="C94" s="530" t="str">
        <f t="shared" si="3"/>
        <v>2012.Visitor Numbers.Total</v>
      </c>
      <c r="D94" s="530" t="s">
        <v>231</v>
      </c>
      <c r="E94" s="530" t="s">
        <v>172</v>
      </c>
      <c r="F94" s="530" t="s">
        <v>54</v>
      </c>
      <c r="G94" s="530" t="s">
        <v>54</v>
      </c>
      <c r="H94" s="530">
        <v>134.58545918071047</v>
      </c>
      <c r="I94" s="530">
        <v>398.0853856748563</v>
      </c>
      <c r="J94" s="530">
        <v>465.09438578162747</v>
      </c>
      <c r="K94" s="530">
        <v>911.11777176739213</v>
      </c>
      <c r="L94" s="530">
        <v>881.77887927620316</v>
      </c>
      <c r="M94" s="530">
        <v>840.63761896545793</v>
      </c>
      <c r="N94" s="530">
        <v>1145.9405683730952</v>
      </c>
      <c r="O94" s="530">
        <v>1339.2617249002976</v>
      </c>
      <c r="P94" s="530">
        <v>877.70484428152952</v>
      </c>
      <c r="Q94" s="530">
        <v>583.71022064002386</v>
      </c>
      <c r="R94" s="530">
        <v>256.14025960397225</v>
      </c>
      <c r="S94" s="530">
        <v>143.23447793176604</v>
      </c>
      <c r="T94" s="530">
        <v>7977.2915963769328</v>
      </c>
      <c r="U94" s="530" t="s">
        <v>61</v>
      </c>
    </row>
    <row r="95" spans="1:21" ht="13.8" x14ac:dyDescent="0.3">
      <c r="A95" s="530" t="str">
        <f t="shared" si="2"/>
        <v>Conwy.2012.Vehicle Days.Serviced Accommodation</v>
      </c>
      <c r="B95" s="530" t="s">
        <v>219</v>
      </c>
      <c r="C95" s="530" t="str">
        <f t="shared" si="3"/>
        <v>2012.Vehicle Days.Serviced Accommodation</v>
      </c>
      <c r="D95" s="530" t="s">
        <v>231</v>
      </c>
      <c r="E95" s="530" t="s">
        <v>21</v>
      </c>
      <c r="F95" s="530" t="s">
        <v>43</v>
      </c>
      <c r="G95" s="530" t="s">
        <v>43</v>
      </c>
      <c r="H95" s="530">
        <v>17.381431366816845</v>
      </c>
      <c r="I95" s="530">
        <v>39.961444855704336</v>
      </c>
      <c r="J95" s="530">
        <v>51.116184948239088</v>
      </c>
      <c r="K95" s="530">
        <v>42.58877839598987</v>
      </c>
      <c r="L95" s="530">
        <v>57.537851761875942</v>
      </c>
      <c r="M95" s="530">
        <v>57.090083841319668</v>
      </c>
      <c r="N95" s="530">
        <v>44.924603310261077</v>
      </c>
      <c r="O95" s="530">
        <v>58.708553159887586</v>
      </c>
      <c r="P95" s="530">
        <v>45.747125345453696</v>
      </c>
      <c r="Q95" s="530">
        <v>49.327719162017232</v>
      </c>
      <c r="R95" s="530">
        <v>45.355554341986483</v>
      </c>
      <c r="S95" s="530">
        <v>29.345104554795967</v>
      </c>
      <c r="T95" s="530">
        <v>539.08443504434774</v>
      </c>
      <c r="U95" s="530" t="s">
        <v>61</v>
      </c>
    </row>
    <row r="96" spans="1:21" ht="13.8" x14ac:dyDescent="0.3">
      <c r="A96" s="530" t="str">
        <f t="shared" si="2"/>
        <v>Conwy.2012.Vehicle Days.Non-Serviced Accommodation</v>
      </c>
      <c r="B96" s="530" t="s">
        <v>219</v>
      </c>
      <c r="C96" s="530" t="str">
        <f t="shared" si="3"/>
        <v>2012.Vehicle Days.Non-Serviced Accommodation</v>
      </c>
      <c r="D96" s="530" t="s">
        <v>231</v>
      </c>
      <c r="E96" s="530" t="s">
        <v>21</v>
      </c>
      <c r="F96" s="530" t="s">
        <v>48</v>
      </c>
      <c r="G96" s="530" t="s">
        <v>48</v>
      </c>
      <c r="H96" s="530">
        <v>7.1829152519521813</v>
      </c>
      <c r="I96" s="530">
        <v>18.179317471010211</v>
      </c>
      <c r="J96" s="530">
        <v>120.74427899515581</v>
      </c>
      <c r="K96" s="530">
        <v>185.87781554084324</v>
      </c>
      <c r="L96" s="530">
        <v>206.66238646490271</v>
      </c>
      <c r="M96" s="530">
        <v>241.85148396310683</v>
      </c>
      <c r="N96" s="530">
        <v>300.309296201189</v>
      </c>
      <c r="O96" s="530">
        <v>323.58963124765546</v>
      </c>
      <c r="P96" s="530">
        <v>239.86618376537916</v>
      </c>
      <c r="Q96" s="530">
        <v>198.91550537020223</v>
      </c>
      <c r="R96" s="530">
        <v>80.503499691498064</v>
      </c>
      <c r="S96" s="530">
        <v>19.259003530223726</v>
      </c>
      <c r="T96" s="530">
        <v>1942.9413174931187</v>
      </c>
      <c r="U96" s="530" t="s">
        <v>61</v>
      </c>
    </row>
    <row r="97" spans="1:21" ht="13.8" x14ac:dyDescent="0.3">
      <c r="A97" s="530" t="str">
        <f t="shared" si="2"/>
        <v>Conwy.2012.Vehicle Days.SFR</v>
      </c>
      <c r="B97" s="530" t="s">
        <v>219</v>
      </c>
      <c r="C97" s="530" t="str">
        <f t="shared" si="3"/>
        <v>2012.Vehicle Days.SFR</v>
      </c>
      <c r="D97" s="530" t="s">
        <v>231</v>
      </c>
      <c r="E97" s="530" t="s">
        <v>21</v>
      </c>
      <c r="F97" s="530" t="s">
        <v>18</v>
      </c>
      <c r="G97" s="530" t="s">
        <v>18</v>
      </c>
      <c r="H97" s="530">
        <v>18.458181818181814</v>
      </c>
      <c r="I97" s="530">
        <v>6.20194909090909</v>
      </c>
      <c r="J97" s="530">
        <v>7.0551272727272734</v>
      </c>
      <c r="K97" s="530">
        <v>16.833861818181816</v>
      </c>
      <c r="L97" s="530">
        <v>10.828800000000001</v>
      </c>
      <c r="M97" s="530">
        <v>8.3416215272727268</v>
      </c>
      <c r="N97" s="530">
        <v>13.536</v>
      </c>
      <c r="O97" s="530">
        <v>14.329127563636362</v>
      </c>
      <c r="P97" s="530">
        <v>7.3806639709090902</v>
      </c>
      <c r="Q97" s="530">
        <v>7.3734283636363633</v>
      </c>
      <c r="R97" s="530">
        <v>5.7454167272727252</v>
      </c>
      <c r="S97" s="530">
        <v>16.636974545454546</v>
      </c>
      <c r="T97" s="530">
        <v>132.72115269818181</v>
      </c>
      <c r="U97" s="530" t="s">
        <v>61</v>
      </c>
    </row>
    <row r="98" spans="1:21" ht="13.8" x14ac:dyDescent="0.3">
      <c r="A98" s="530" t="str">
        <f t="shared" si="2"/>
        <v>Conwy.2012.Vehicle Days.Day Visitor</v>
      </c>
      <c r="B98" s="530" t="s">
        <v>219</v>
      </c>
      <c r="C98" s="530" t="str">
        <f t="shared" si="3"/>
        <v>2012.Vehicle Days.Day Visitor</v>
      </c>
      <c r="D98" s="530" t="s">
        <v>231</v>
      </c>
      <c r="E98" s="530" t="s">
        <v>21</v>
      </c>
      <c r="F98" s="530" t="s">
        <v>71</v>
      </c>
      <c r="G98" s="530" t="s">
        <v>71</v>
      </c>
      <c r="H98" s="530">
        <v>13.018047956150635</v>
      </c>
      <c r="I98" s="530">
        <v>74.605878043131426</v>
      </c>
      <c r="J98" s="530">
        <v>71.727049393870445</v>
      </c>
      <c r="K98" s="530">
        <v>151.02493456838596</v>
      </c>
      <c r="L98" s="530">
        <v>140.53886745445644</v>
      </c>
      <c r="M98" s="530">
        <v>145.79938122202029</v>
      </c>
      <c r="N98" s="530">
        <v>189.59419287802896</v>
      </c>
      <c r="O98" s="530">
        <v>225.41659942317068</v>
      </c>
      <c r="P98" s="530">
        <v>141.32571073941818</v>
      </c>
      <c r="Q98" s="530">
        <v>92.051221410269108</v>
      </c>
      <c r="R98" s="530">
        <v>23.053090679854304</v>
      </c>
      <c r="S98" s="530">
        <v>8.5507708032108276</v>
      </c>
      <c r="T98" s="530">
        <v>1276.705744571967</v>
      </c>
      <c r="U98" s="530" t="s">
        <v>61</v>
      </c>
    </row>
    <row r="99" spans="1:21" ht="13.8" x14ac:dyDescent="0.3">
      <c r="A99" s="530" t="str">
        <f t="shared" si="2"/>
        <v>Conwy.2012.Vehicle Days.Total</v>
      </c>
      <c r="B99" s="530" t="s">
        <v>219</v>
      </c>
      <c r="C99" s="530" t="str">
        <f t="shared" si="3"/>
        <v>2012.Vehicle Days.Total</v>
      </c>
      <c r="D99" s="530" t="s">
        <v>231</v>
      </c>
      <c r="E99" s="530" t="s">
        <v>21</v>
      </c>
      <c r="F99" s="530" t="s">
        <v>54</v>
      </c>
      <c r="G99" s="530" t="s">
        <v>54</v>
      </c>
      <c r="H99" s="530">
        <v>56.040576393101475</v>
      </c>
      <c r="I99" s="530">
        <v>138.94858946075507</v>
      </c>
      <c r="J99" s="530">
        <v>250.64264060999261</v>
      </c>
      <c r="K99" s="530">
        <v>396.32539032340088</v>
      </c>
      <c r="L99" s="530">
        <v>415.56790568123506</v>
      </c>
      <c r="M99" s="530">
        <v>453.08257055371951</v>
      </c>
      <c r="N99" s="530">
        <v>548.36409238947908</v>
      </c>
      <c r="O99" s="530">
        <v>622.04391139435006</v>
      </c>
      <c r="P99" s="530">
        <v>434.31968382116014</v>
      </c>
      <c r="Q99" s="530">
        <v>347.66787430612493</v>
      </c>
      <c r="R99" s="530">
        <v>154.65756144061157</v>
      </c>
      <c r="S99" s="530">
        <v>73.791853433685063</v>
      </c>
      <c r="T99" s="530">
        <v>3891.4526498076157</v>
      </c>
      <c r="U99" s="530" t="s">
        <v>61</v>
      </c>
    </row>
    <row r="100" spans="1:21" ht="13.8" x14ac:dyDescent="0.3">
      <c r="A100" s="530" t="str">
        <f t="shared" si="2"/>
        <v>Conwy.2012.Vehicle Numbers.Serviced Accommodation</v>
      </c>
      <c r="B100" s="530" t="s">
        <v>219</v>
      </c>
      <c r="C100" s="530" t="str">
        <f t="shared" si="3"/>
        <v>2012.Vehicle Numbers.Serviced Accommodation</v>
      </c>
      <c r="D100" s="530" t="s">
        <v>231</v>
      </c>
      <c r="E100" s="530" t="s">
        <v>22</v>
      </c>
      <c r="F100" s="530" t="s">
        <v>43</v>
      </c>
      <c r="G100" s="530" t="s">
        <v>43</v>
      </c>
      <c r="H100" s="530">
        <v>11.272950584169557</v>
      </c>
      <c r="I100" s="530">
        <v>26.718727271448792</v>
      </c>
      <c r="J100" s="530">
        <v>24.716424224880189</v>
      </c>
      <c r="K100" s="530">
        <v>23.39543101487563</v>
      </c>
      <c r="L100" s="530">
        <v>30.530860274261631</v>
      </c>
      <c r="M100" s="530">
        <v>32.057050745242492</v>
      </c>
      <c r="N100" s="530">
        <v>25.855901801132354</v>
      </c>
      <c r="O100" s="530">
        <v>33.333480942625542</v>
      </c>
      <c r="P100" s="530">
        <v>23.186959867841633</v>
      </c>
      <c r="Q100" s="530">
        <v>28.687509132682749</v>
      </c>
      <c r="R100" s="530">
        <v>26.024870146313248</v>
      </c>
      <c r="S100" s="530">
        <v>17.924290177170597</v>
      </c>
      <c r="T100" s="530">
        <v>303.70445618264438</v>
      </c>
      <c r="U100" s="530" t="s">
        <v>61</v>
      </c>
    </row>
    <row r="101" spans="1:21" ht="13.8" x14ac:dyDescent="0.3">
      <c r="A101" s="530" t="str">
        <f t="shared" si="2"/>
        <v>Conwy.2012.Vehicle Numbers.Non-Serviced Accommodation</v>
      </c>
      <c r="B101" s="530" t="s">
        <v>219</v>
      </c>
      <c r="C101" s="530" t="str">
        <f t="shared" si="3"/>
        <v>2012.Vehicle Numbers.Non-Serviced Accommodation</v>
      </c>
      <c r="D101" s="530" t="s">
        <v>231</v>
      </c>
      <c r="E101" s="530" t="s">
        <v>22</v>
      </c>
      <c r="F101" s="530" t="s">
        <v>48</v>
      </c>
      <c r="G101" s="530" t="s">
        <v>48</v>
      </c>
      <c r="H101" s="530">
        <v>2.1126221329271124</v>
      </c>
      <c r="I101" s="530">
        <v>4.5448293677525529</v>
      </c>
      <c r="J101" s="530">
        <v>25.155058123990795</v>
      </c>
      <c r="K101" s="530">
        <v>29.043408678256757</v>
      </c>
      <c r="L101" s="530">
        <v>29.951070502159812</v>
      </c>
      <c r="M101" s="530">
        <v>34.550211994729544</v>
      </c>
      <c r="N101" s="530">
        <v>42.297083971998447</v>
      </c>
      <c r="O101" s="530">
        <v>42.577583058902036</v>
      </c>
      <c r="P101" s="530">
        <v>34.763215038460743</v>
      </c>
      <c r="Q101" s="530">
        <v>28.416500767171744</v>
      </c>
      <c r="R101" s="530">
        <v>17.889666598110679</v>
      </c>
      <c r="S101" s="530">
        <v>3.4391077732542366</v>
      </c>
      <c r="T101" s="530">
        <v>294.74035800771446</v>
      </c>
      <c r="U101" s="530" t="s">
        <v>61</v>
      </c>
    </row>
    <row r="102" spans="1:21" ht="13.8" x14ac:dyDescent="0.3">
      <c r="A102" s="530" t="str">
        <f t="shared" si="2"/>
        <v>Conwy.2012.Vehicle Numbers.SFR</v>
      </c>
      <c r="B102" s="530" t="s">
        <v>219</v>
      </c>
      <c r="C102" s="530" t="str">
        <f t="shared" si="3"/>
        <v>2012.Vehicle Numbers.SFR</v>
      </c>
      <c r="D102" s="530" t="s">
        <v>231</v>
      </c>
      <c r="E102" s="530" t="s">
        <v>22</v>
      </c>
      <c r="F102" s="530" t="s">
        <v>18</v>
      </c>
      <c r="G102" s="530" t="s">
        <v>18</v>
      </c>
      <c r="H102" s="530">
        <v>7.3832727272727254</v>
      </c>
      <c r="I102" s="530">
        <v>2.95330909090909</v>
      </c>
      <c r="J102" s="530">
        <v>3.2814545454545461</v>
      </c>
      <c r="K102" s="530">
        <v>6.2347636363636356</v>
      </c>
      <c r="L102" s="530">
        <v>4.9221818181818175</v>
      </c>
      <c r="M102" s="530">
        <v>3.9722007272727269</v>
      </c>
      <c r="N102" s="530">
        <v>5.4144000000000005</v>
      </c>
      <c r="O102" s="530">
        <v>5.5112029090909083</v>
      </c>
      <c r="P102" s="530">
        <v>3.4012276363636365</v>
      </c>
      <c r="Q102" s="530">
        <v>3.4455272727272717</v>
      </c>
      <c r="R102" s="530">
        <v>2.8302545454545447</v>
      </c>
      <c r="S102" s="530">
        <v>6.3988363636363639</v>
      </c>
      <c r="T102" s="530">
        <v>55.748631272727259</v>
      </c>
      <c r="U102" s="530" t="s">
        <v>61</v>
      </c>
    </row>
    <row r="103" spans="1:21" ht="13.8" x14ac:dyDescent="0.3">
      <c r="A103" s="530" t="str">
        <f t="shared" si="2"/>
        <v>Conwy.2012.Vehicle Numbers.Day Visitor</v>
      </c>
      <c r="B103" s="530" t="s">
        <v>219</v>
      </c>
      <c r="C103" s="530" t="str">
        <f t="shared" si="3"/>
        <v>2012.Vehicle Numbers.Day Visitor</v>
      </c>
      <c r="D103" s="530" t="s">
        <v>231</v>
      </c>
      <c r="E103" s="530" t="s">
        <v>22</v>
      </c>
      <c r="F103" s="530" t="s">
        <v>71</v>
      </c>
      <c r="G103" s="530" t="s">
        <v>71</v>
      </c>
      <c r="H103" s="530">
        <v>13.018047956150635</v>
      </c>
      <c r="I103" s="530">
        <v>74.605878043131426</v>
      </c>
      <c r="J103" s="530">
        <v>71.727049393870445</v>
      </c>
      <c r="K103" s="530">
        <v>151.02493456838596</v>
      </c>
      <c r="L103" s="530">
        <v>140.53886745445644</v>
      </c>
      <c r="M103" s="530">
        <v>145.79938122202029</v>
      </c>
      <c r="N103" s="530">
        <v>189.59419287802896</v>
      </c>
      <c r="O103" s="530">
        <v>225.41659942317068</v>
      </c>
      <c r="P103" s="530">
        <v>141.32571073941818</v>
      </c>
      <c r="Q103" s="530">
        <v>92.051221410269108</v>
      </c>
      <c r="R103" s="530">
        <v>23.053090679854304</v>
      </c>
      <c r="S103" s="530">
        <v>8.5507708032108276</v>
      </c>
      <c r="T103" s="530">
        <v>1276.705744571967</v>
      </c>
      <c r="U103" s="530" t="s">
        <v>61</v>
      </c>
    </row>
    <row r="104" spans="1:21" ht="13.8" x14ac:dyDescent="0.3">
      <c r="A104" s="530" t="str">
        <f t="shared" si="2"/>
        <v>Conwy.2012.Vehicle Numbers.Total</v>
      </c>
      <c r="B104" s="530" t="s">
        <v>219</v>
      </c>
      <c r="C104" s="530" t="str">
        <f t="shared" si="3"/>
        <v>2012.Vehicle Numbers.Total</v>
      </c>
      <c r="D104" s="530" t="s">
        <v>231</v>
      </c>
      <c r="E104" s="530" t="s">
        <v>22</v>
      </c>
      <c r="F104" s="530" t="s">
        <v>54</v>
      </c>
      <c r="G104" s="530" t="s">
        <v>54</v>
      </c>
      <c r="H104" s="530">
        <v>33.786893400520029</v>
      </c>
      <c r="I104" s="530">
        <v>108.82274377324185</v>
      </c>
      <c r="J104" s="530">
        <v>124.87998628819597</v>
      </c>
      <c r="K104" s="530">
        <v>209.69853789788198</v>
      </c>
      <c r="L104" s="530">
        <v>205.94298004905971</v>
      </c>
      <c r="M104" s="530">
        <v>216.37884468926507</v>
      </c>
      <c r="N104" s="530">
        <v>263.16157865115974</v>
      </c>
      <c r="O104" s="530">
        <v>306.83886633378916</v>
      </c>
      <c r="P104" s="530">
        <v>202.67711328208421</v>
      </c>
      <c r="Q104" s="530">
        <v>152.60075858285086</v>
      </c>
      <c r="R104" s="530">
        <v>69.797881969732771</v>
      </c>
      <c r="S104" s="530">
        <v>36.313005117272027</v>
      </c>
      <c r="T104" s="530">
        <v>1930.8991900350534</v>
      </c>
      <c r="U104" s="530" t="s">
        <v>61</v>
      </c>
    </row>
    <row r="105" spans="1:21" ht="13.8" x14ac:dyDescent="0.3">
      <c r="A105" s="530" t="str">
        <f t="shared" si="2"/>
        <v>Conwy.2012.Accommodation.Serviced Accommodation</v>
      </c>
      <c r="B105" s="530" t="s">
        <v>219</v>
      </c>
      <c r="C105" s="530" t="str">
        <f t="shared" si="3"/>
        <v>2012.Accommodation.Serviced Accommodation</v>
      </c>
      <c r="D105" s="530" t="s">
        <v>231</v>
      </c>
      <c r="E105" s="530" t="s">
        <v>23</v>
      </c>
      <c r="F105" s="530" t="s">
        <v>43</v>
      </c>
      <c r="G105" s="530" t="s">
        <v>43</v>
      </c>
      <c r="H105" s="530">
        <v>9162</v>
      </c>
      <c r="I105" s="530">
        <v>10039</v>
      </c>
      <c r="J105" s="530">
        <v>11171</v>
      </c>
      <c r="K105" s="530">
        <v>11655</v>
      </c>
      <c r="L105" s="530">
        <v>11673</v>
      </c>
      <c r="M105" s="530">
        <v>11685</v>
      </c>
      <c r="N105" s="530">
        <v>11685</v>
      </c>
      <c r="O105" s="530">
        <v>11685</v>
      </c>
      <c r="P105" s="530">
        <v>11679</v>
      </c>
      <c r="Q105" s="530">
        <v>11495</v>
      </c>
      <c r="R105" s="530">
        <v>10985</v>
      </c>
      <c r="S105" s="530">
        <v>9965</v>
      </c>
      <c r="T105" s="530">
        <v>11685</v>
      </c>
      <c r="U105" s="530" t="s">
        <v>58</v>
      </c>
    </row>
    <row r="106" spans="1:21" ht="13.8" x14ac:dyDescent="0.3">
      <c r="A106" s="530" t="str">
        <f t="shared" si="2"/>
        <v>Conwy.2012.Accommodation.Non-Serviced Accommodation</v>
      </c>
      <c r="B106" s="530" t="s">
        <v>219</v>
      </c>
      <c r="C106" s="530" t="str">
        <f t="shared" si="3"/>
        <v>2012.Accommodation.Non-Serviced Accommodation</v>
      </c>
      <c r="D106" s="530" t="s">
        <v>231</v>
      </c>
      <c r="E106" s="530" t="s">
        <v>23</v>
      </c>
      <c r="F106" s="530" t="s">
        <v>48</v>
      </c>
      <c r="G106" s="530" t="s">
        <v>48</v>
      </c>
      <c r="H106" s="530">
        <v>5401</v>
      </c>
      <c r="I106" s="530">
        <v>5821</v>
      </c>
      <c r="J106" s="530">
        <v>41412</v>
      </c>
      <c r="K106" s="530">
        <v>48828</v>
      </c>
      <c r="L106" s="530">
        <v>49335</v>
      </c>
      <c r="M106" s="530">
        <v>49335</v>
      </c>
      <c r="N106" s="530">
        <v>49340</v>
      </c>
      <c r="O106" s="530">
        <v>49340</v>
      </c>
      <c r="P106" s="530">
        <v>49335</v>
      </c>
      <c r="Q106" s="530">
        <v>49061</v>
      </c>
      <c r="R106" s="530">
        <v>30269</v>
      </c>
      <c r="S106" s="530">
        <v>7999</v>
      </c>
      <c r="T106" s="530">
        <v>49340</v>
      </c>
      <c r="U106" s="530" t="s">
        <v>58</v>
      </c>
    </row>
    <row r="107" spans="1:21" ht="13.8" x14ac:dyDescent="0.3">
      <c r="A107" s="530" t="str">
        <f t="shared" si="2"/>
        <v>Conwy.2012.Accommodation.Total</v>
      </c>
      <c r="B107" s="530" t="s">
        <v>219</v>
      </c>
      <c r="C107" s="530" t="str">
        <f t="shared" si="3"/>
        <v>2012.Accommodation.Total</v>
      </c>
      <c r="D107" s="530" t="s">
        <v>231</v>
      </c>
      <c r="E107" s="530" t="s">
        <v>23</v>
      </c>
      <c r="F107" s="530" t="s">
        <v>54</v>
      </c>
      <c r="G107" s="530" t="s">
        <v>54</v>
      </c>
      <c r="H107" s="530">
        <v>14563</v>
      </c>
      <c r="I107" s="530">
        <v>15860</v>
      </c>
      <c r="J107" s="530">
        <v>52583</v>
      </c>
      <c r="K107" s="530">
        <v>60483</v>
      </c>
      <c r="L107" s="530">
        <v>61008</v>
      </c>
      <c r="M107" s="530">
        <v>61020</v>
      </c>
      <c r="N107" s="530">
        <v>61025</v>
      </c>
      <c r="O107" s="530">
        <v>61025</v>
      </c>
      <c r="P107" s="530">
        <v>61014</v>
      </c>
      <c r="Q107" s="530">
        <v>60556</v>
      </c>
      <c r="R107" s="530">
        <v>41254</v>
      </c>
      <c r="S107" s="530">
        <v>17964</v>
      </c>
      <c r="T107" s="530">
        <v>61025</v>
      </c>
      <c r="U107" s="530" t="s">
        <v>58</v>
      </c>
    </row>
    <row r="108" spans="1:21" ht="13.8" x14ac:dyDescent="0.3">
      <c r="A108" s="530" t="str">
        <f t="shared" si="2"/>
        <v>Conwy.2012.Economic Impact.Total</v>
      </c>
      <c r="B108" s="530" t="s">
        <v>219</v>
      </c>
      <c r="C108" s="530" t="str">
        <f t="shared" si="3"/>
        <v>2012.Economic Impact.Total</v>
      </c>
      <c r="D108" s="530" t="s">
        <v>231</v>
      </c>
      <c r="E108" s="530" t="s">
        <v>17</v>
      </c>
      <c r="F108" s="530" t="s">
        <v>54</v>
      </c>
      <c r="G108" s="530" t="s">
        <v>54</v>
      </c>
      <c r="H108" s="530">
        <v>10952.940784718612</v>
      </c>
      <c r="I108" s="530">
        <v>25103.524542827101</v>
      </c>
      <c r="J108" s="530">
        <v>40644.132907129024</v>
      </c>
      <c r="K108" s="530">
        <v>69246.108151160501</v>
      </c>
      <c r="L108" s="530">
        <v>71867.925339380905</v>
      </c>
      <c r="M108" s="530">
        <v>74770.400983349871</v>
      </c>
      <c r="N108" s="530">
        <v>97888.464728252191</v>
      </c>
      <c r="O108" s="530">
        <v>114696.98928136568</v>
      </c>
      <c r="P108" s="530">
        <v>81941.532965828592</v>
      </c>
      <c r="Q108" s="530">
        <v>56738.013936835865</v>
      </c>
      <c r="R108" s="530">
        <v>27656.507515648143</v>
      </c>
      <c r="S108" s="530">
        <v>16351.43111969603</v>
      </c>
      <c r="T108" s="530">
        <v>687857.97225619247</v>
      </c>
      <c r="U108" s="530" t="s">
        <v>57</v>
      </c>
    </row>
    <row r="109" spans="1:21" ht="13.8" x14ac:dyDescent="0.3">
      <c r="A109" s="530" t="str">
        <f t="shared" si="2"/>
        <v>Conwy.2013.Economic Impact.Indirect Expenditure</v>
      </c>
      <c r="B109" s="530" t="s">
        <v>219</v>
      </c>
      <c r="C109" s="530" t="str">
        <f t="shared" si="3"/>
        <v>2013.Economic Impact.Indirect Expenditure</v>
      </c>
      <c r="D109" s="530" t="s">
        <v>232</v>
      </c>
      <c r="E109" s="530" t="s">
        <v>17</v>
      </c>
      <c r="F109" s="530" t="s">
        <v>45</v>
      </c>
      <c r="G109" s="530" t="s">
        <v>45</v>
      </c>
      <c r="H109" s="530">
        <v>2949.0471415387801</v>
      </c>
      <c r="I109" s="530">
        <v>6419.6233600125979</v>
      </c>
      <c r="J109" s="530">
        <v>10538.09395445366</v>
      </c>
      <c r="K109" s="530">
        <v>16524.577035483373</v>
      </c>
      <c r="L109" s="530">
        <v>22129.750320836669</v>
      </c>
      <c r="M109" s="530">
        <v>19873.838970350491</v>
      </c>
      <c r="N109" s="530">
        <v>27409.091537407439</v>
      </c>
      <c r="O109" s="530">
        <v>32245.67003539811</v>
      </c>
      <c r="P109" s="530">
        <v>20454.424701988468</v>
      </c>
      <c r="Q109" s="530">
        <v>13011.410557603265</v>
      </c>
      <c r="R109" s="530">
        <v>6927.1280302952846</v>
      </c>
      <c r="S109" s="530">
        <v>3858.980597907876</v>
      </c>
      <c r="T109" s="530">
        <v>182341.63624327601</v>
      </c>
      <c r="U109" s="530" t="s">
        <v>57</v>
      </c>
    </row>
    <row r="110" spans="1:21" ht="13.8" x14ac:dyDescent="0.3">
      <c r="A110" s="530" t="str">
        <f t="shared" si="2"/>
        <v>Conwy.2013.Economic Impact.Direct Revenue</v>
      </c>
      <c r="B110" s="530" t="s">
        <v>219</v>
      </c>
      <c r="C110" s="530" t="str">
        <f t="shared" si="3"/>
        <v>2013.Economic Impact.Direct Revenue</v>
      </c>
      <c r="D110" s="530" t="s">
        <v>232</v>
      </c>
      <c r="E110" s="530" t="s">
        <v>17</v>
      </c>
      <c r="F110" s="530" t="s">
        <v>46</v>
      </c>
      <c r="G110" s="530" t="s">
        <v>46</v>
      </c>
      <c r="H110" s="530">
        <v>7781.8449349950833</v>
      </c>
      <c r="I110" s="530">
        <v>17099.9047985613</v>
      </c>
      <c r="J110" s="530">
        <v>26955.397221777366</v>
      </c>
      <c r="K110" s="530">
        <v>41923.893112864404</v>
      </c>
      <c r="L110" s="530">
        <v>56033.935887962944</v>
      </c>
      <c r="M110" s="530">
        <v>50392.447180582167</v>
      </c>
      <c r="N110" s="530">
        <v>69382.365556928737</v>
      </c>
      <c r="O110" s="530">
        <v>81246.772693903273</v>
      </c>
      <c r="P110" s="530">
        <v>51765.333116251124</v>
      </c>
      <c r="Q110" s="530">
        <v>33165.563646604998</v>
      </c>
      <c r="R110" s="530">
        <v>18549.971884345214</v>
      </c>
      <c r="S110" s="530">
        <v>10618.244196623842</v>
      </c>
      <c r="T110" s="530">
        <v>464915.67423140042</v>
      </c>
      <c r="U110" s="530" t="s">
        <v>57</v>
      </c>
    </row>
    <row r="111" spans="1:21" ht="13.8" x14ac:dyDescent="0.3">
      <c r="A111" s="530" t="str">
        <f t="shared" si="2"/>
        <v>Conwy.2013.Economic Impact.VAT</v>
      </c>
      <c r="B111" s="530" t="s">
        <v>219</v>
      </c>
      <c r="C111" s="530" t="str">
        <f t="shared" si="3"/>
        <v>2013.Economic Impact.VAT</v>
      </c>
      <c r="D111" s="530" t="s">
        <v>232</v>
      </c>
      <c r="E111" s="530" t="s">
        <v>17</v>
      </c>
      <c r="F111" s="530" t="s">
        <v>47</v>
      </c>
      <c r="G111" s="530" t="s">
        <v>47</v>
      </c>
      <c r="H111" s="530">
        <v>1556.3689869990169</v>
      </c>
      <c r="I111" s="530">
        <v>3419.9809597122603</v>
      </c>
      <c r="J111" s="530">
        <v>5391.0794443554742</v>
      </c>
      <c r="K111" s="530">
        <v>8384.7786225728814</v>
      </c>
      <c r="L111" s="530">
        <v>11206.787177592587</v>
      </c>
      <c r="M111" s="530">
        <v>10078.489436116433</v>
      </c>
      <c r="N111" s="530">
        <v>13876.473111385749</v>
      </c>
      <c r="O111" s="530">
        <v>16249.354538780655</v>
      </c>
      <c r="P111" s="530">
        <v>10353.066623250224</v>
      </c>
      <c r="Q111" s="530">
        <v>6633.1127293210002</v>
      </c>
      <c r="R111" s="530">
        <v>3709.9943768690428</v>
      </c>
      <c r="S111" s="530">
        <v>2123.6488393247687</v>
      </c>
      <c r="T111" s="530">
        <v>92983.134846280096</v>
      </c>
      <c r="U111" s="530" t="s">
        <v>57</v>
      </c>
    </row>
    <row r="112" spans="1:21" ht="13.8" x14ac:dyDescent="0.3">
      <c r="A112" s="530" t="str">
        <f t="shared" si="2"/>
        <v>Conwy.2013.Economic Impact.Serviced Accommodation</v>
      </c>
      <c r="B112" s="530" t="s">
        <v>219</v>
      </c>
      <c r="C112" s="530" t="str">
        <f t="shared" si="3"/>
        <v>2013.Economic Impact.Serviced Accommodation</v>
      </c>
      <c r="D112" s="530" t="s">
        <v>232</v>
      </c>
      <c r="E112" s="530" t="s">
        <v>17</v>
      </c>
      <c r="F112" s="530" t="s">
        <v>43</v>
      </c>
      <c r="G112" s="530" t="s">
        <v>43</v>
      </c>
      <c r="H112" s="530">
        <v>5889.4742110621246</v>
      </c>
      <c r="I112" s="530">
        <v>12950.337387067535</v>
      </c>
      <c r="J112" s="530">
        <v>10655.82904222493</v>
      </c>
      <c r="K112" s="530">
        <v>13746.917858600009</v>
      </c>
      <c r="L112" s="530">
        <v>19226.59415323344</v>
      </c>
      <c r="M112" s="530">
        <v>16101.432280355566</v>
      </c>
      <c r="N112" s="530">
        <v>21327.687433850704</v>
      </c>
      <c r="O112" s="530">
        <v>25165.799292930249</v>
      </c>
      <c r="P112" s="530">
        <v>18208.854783284893</v>
      </c>
      <c r="Q112" s="530">
        <v>13005.300837695093</v>
      </c>
      <c r="R112" s="530">
        <v>12858.593433718421</v>
      </c>
      <c r="S112" s="530">
        <v>10059.022468945452</v>
      </c>
      <c r="T112" s="530">
        <v>179195.84318296841</v>
      </c>
      <c r="U112" s="530" t="s">
        <v>57</v>
      </c>
    </row>
    <row r="113" spans="1:21" ht="13.8" x14ac:dyDescent="0.3">
      <c r="A113" s="530" t="str">
        <f t="shared" si="2"/>
        <v>Conwy.2013.Economic Impact.Non-Serviced Accommodation</v>
      </c>
      <c r="B113" s="530" t="s">
        <v>219</v>
      </c>
      <c r="C113" s="530" t="str">
        <f t="shared" si="3"/>
        <v>2013.Economic Impact.Non-Serviced Accommodation</v>
      </c>
      <c r="D113" s="530" t="s">
        <v>232</v>
      </c>
      <c r="E113" s="530" t="s">
        <v>17</v>
      </c>
      <c r="F113" s="530" t="s">
        <v>48</v>
      </c>
      <c r="G113" s="530" t="s">
        <v>48</v>
      </c>
      <c r="H113" s="530">
        <v>2364.6583584931559</v>
      </c>
      <c r="I113" s="530">
        <v>3080.6320066106318</v>
      </c>
      <c r="J113" s="530">
        <v>20865.051701188153</v>
      </c>
      <c r="K113" s="530">
        <v>24690.493585667682</v>
      </c>
      <c r="L113" s="530">
        <v>31358.053805140247</v>
      </c>
      <c r="M113" s="530">
        <v>36821.734136844592</v>
      </c>
      <c r="N113" s="530">
        <v>45542.904473234623</v>
      </c>
      <c r="O113" s="530">
        <v>53485.70906683262</v>
      </c>
      <c r="P113" s="530">
        <v>37200.104466165911</v>
      </c>
      <c r="Q113" s="530">
        <v>24856.069017332225</v>
      </c>
      <c r="R113" s="530">
        <v>11677.578566896569</v>
      </c>
      <c r="S113" s="530">
        <v>3498.0989616019319</v>
      </c>
      <c r="T113" s="530">
        <v>295441.08814600832</v>
      </c>
      <c r="U113" s="530" t="s">
        <v>57</v>
      </c>
    </row>
    <row r="114" spans="1:21" ht="13.8" x14ac:dyDescent="0.3">
      <c r="A114" s="530" t="str">
        <f t="shared" si="2"/>
        <v>Conwy.2013.Economic Impact.SFR</v>
      </c>
      <c r="B114" s="530" t="s">
        <v>219</v>
      </c>
      <c r="C114" s="530" t="str">
        <f t="shared" si="3"/>
        <v>2013.Economic Impact.SFR</v>
      </c>
      <c r="D114" s="530" t="s">
        <v>232</v>
      </c>
      <c r="E114" s="530" t="s">
        <v>17</v>
      </c>
      <c r="F114" s="530" t="s">
        <v>18</v>
      </c>
      <c r="G114" s="530" t="s">
        <v>18</v>
      </c>
      <c r="H114" s="530">
        <v>1797.9478204173299</v>
      </c>
      <c r="I114" s="530">
        <v>604.11046766022275</v>
      </c>
      <c r="J114" s="530">
        <v>687.21561135951288</v>
      </c>
      <c r="K114" s="530">
        <v>1639.7284122206047</v>
      </c>
      <c r="L114" s="530">
        <v>1054.7960546448337</v>
      </c>
      <c r="M114" s="530">
        <v>812.528579003</v>
      </c>
      <c r="N114" s="530">
        <v>1318.495068306042</v>
      </c>
      <c r="O114" s="530">
        <v>1395.7508884295744</v>
      </c>
      <c r="P114" s="530">
        <v>718.92501820831319</v>
      </c>
      <c r="Q114" s="530">
        <v>718.22022266270915</v>
      </c>
      <c r="R114" s="530">
        <v>559.64122490190084</v>
      </c>
      <c r="S114" s="530">
        <v>1620.5503021361533</v>
      </c>
      <c r="T114" s="530">
        <v>12927.909669950197</v>
      </c>
      <c r="U114" s="530" t="s">
        <v>57</v>
      </c>
    </row>
    <row r="115" spans="1:21" ht="13.8" x14ac:dyDescent="0.3">
      <c r="A115" s="530" t="str">
        <f t="shared" si="2"/>
        <v>Conwy.2013.Economic Impact.Day Visitor</v>
      </c>
      <c r="B115" s="530" t="s">
        <v>219</v>
      </c>
      <c r="C115" s="530" t="str">
        <f t="shared" si="3"/>
        <v>2013.Economic Impact.Day Visitor</v>
      </c>
      <c r="D115" s="530" t="s">
        <v>232</v>
      </c>
      <c r="E115" s="530" t="s">
        <v>17</v>
      </c>
      <c r="F115" s="530" t="s">
        <v>71</v>
      </c>
      <c r="G115" s="530" t="s">
        <v>71</v>
      </c>
      <c r="H115" s="530">
        <v>2235.18067356027</v>
      </c>
      <c r="I115" s="530">
        <v>10304.429256947769</v>
      </c>
      <c r="J115" s="530">
        <v>10676.474265813904</v>
      </c>
      <c r="K115" s="530">
        <v>26756.108914432356</v>
      </c>
      <c r="L115" s="530">
        <v>37731.029373373662</v>
      </c>
      <c r="M115" s="530">
        <v>26609.080590845941</v>
      </c>
      <c r="N115" s="530">
        <v>42478.843230330545</v>
      </c>
      <c r="O115" s="530">
        <v>49694.538019889587</v>
      </c>
      <c r="P115" s="530">
        <v>26444.940173830699</v>
      </c>
      <c r="Q115" s="530">
        <v>14230.496855839239</v>
      </c>
      <c r="R115" s="530">
        <v>4091.2810659926508</v>
      </c>
      <c r="S115" s="530">
        <v>1423.2019011729478</v>
      </c>
      <c r="T115" s="530">
        <v>252675.6043220296</v>
      </c>
      <c r="U115" s="530" t="s">
        <v>57</v>
      </c>
    </row>
    <row r="116" spans="1:21" ht="13.8" x14ac:dyDescent="0.3">
      <c r="A116" s="530" t="str">
        <f t="shared" si="2"/>
        <v>Conwy.2013.Economic Impact.Accommodation</v>
      </c>
      <c r="B116" s="530" t="s">
        <v>219</v>
      </c>
      <c r="C116" s="530" t="str">
        <f t="shared" si="3"/>
        <v>2013.Economic Impact.Accommodation</v>
      </c>
      <c r="D116" s="530" t="s">
        <v>232</v>
      </c>
      <c r="E116" s="530" t="s">
        <v>17</v>
      </c>
      <c r="F116" s="530" t="s">
        <v>23</v>
      </c>
      <c r="G116" s="530" t="s">
        <v>23</v>
      </c>
      <c r="H116" s="530">
        <v>2725.01967369967</v>
      </c>
      <c r="I116" s="530">
        <v>5656.0276023111437</v>
      </c>
      <c r="J116" s="530">
        <v>6232.2380247983974</v>
      </c>
      <c r="K116" s="530">
        <v>7376.9238107453793</v>
      </c>
      <c r="L116" s="530">
        <v>10001.171397184104</v>
      </c>
      <c r="M116" s="530">
        <v>9756.525434302448</v>
      </c>
      <c r="N116" s="530">
        <v>13974.35870056489</v>
      </c>
      <c r="O116" s="530">
        <v>17489.169398293121</v>
      </c>
      <c r="P116" s="530">
        <v>13272.475611722697</v>
      </c>
      <c r="Q116" s="530">
        <v>7001.4727601732684</v>
      </c>
      <c r="R116" s="530">
        <v>6137.5760429246538</v>
      </c>
      <c r="S116" s="530">
        <v>4322.3784113610936</v>
      </c>
      <c r="T116" s="530">
        <v>103945.33686808086</v>
      </c>
      <c r="U116" s="530" t="s">
        <v>57</v>
      </c>
    </row>
    <row r="117" spans="1:21" ht="13.8" x14ac:dyDescent="0.3">
      <c r="A117" s="530" t="str">
        <f t="shared" si="2"/>
        <v>Conwy.2013.Economic Impact.Food &amp; Drink</v>
      </c>
      <c r="B117" s="530" t="s">
        <v>219</v>
      </c>
      <c r="C117" s="530" t="str">
        <f t="shared" si="3"/>
        <v>2013.Economic Impact.Food &amp; Drink</v>
      </c>
      <c r="D117" s="530" t="s">
        <v>232</v>
      </c>
      <c r="E117" s="530" t="s">
        <v>17</v>
      </c>
      <c r="F117" s="530" t="s">
        <v>49</v>
      </c>
      <c r="G117" s="530" t="s">
        <v>49</v>
      </c>
      <c r="H117" s="530">
        <v>1557.5037841273261</v>
      </c>
      <c r="I117" s="530">
        <v>3129.0802575475586</v>
      </c>
      <c r="J117" s="530">
        <v>6510.7281877218811</v>
      </c>
      <c r="K117" s="530">
        <v>10234.881577372938</v>
      </c>
      <c r="L117" s="530">
        <v>13429.094594308151</v>
      </c>
      <c r="M117" s="530">
        <v>12422.446159992651</v>
      </c>
      <c r="N117" s="530">
        <v>16511.546005565873</v>
      </c>
      <c r="O117" s="530">
        <v>18803.069002286</v>
      </c>
      <c r="P117" s="530">
        <v>11691.817010158955</v>
      </c>
      <c r="Q117" s="530">
        <v>8181.5038345382427</v>
      </c>
      <c r="R117" s="530">
        <v>4092.8029249340648</v>
      </c>
      <c r="S117" s="530">
        <v>2101.0417350077528</v>
      </c>
      <c r="T117" s="530">
        <v>108665.5150735614</v>
      </c>
      <c r="U117" s="530" t="s">
        <v>57</v>
      </c>
    </row>
    <row r="118" spans="1:21" ht="13.8" x14ac:dyDescent="0.3">
      <c r="A118" s="530" t="str">
        <f t="shared" si="2"/>
        <v>Conwy.2013.Economic Impact.Recreation</v>
      </c>
      <c r="B118" s="530" t="s">
        <v>219</v>
      </c>
      <c r="C118" s="530" t="str">
        <f t="shared" si="3"/>
        <v>2013.Economic Impact.Recreation</v>
      </c>
      <c r="D118" s="530" t="s">
        <v>232</v>
      </c>
      <c r="E118" s="530" t="s">
        <v>17</v>
      </c>
      <c r="F118" s="530" t="s">
        <v>50</v>
      </c>
      <c r="G118" s="530" t="s">
        <v>50</v>
      </c>
      <c r="H118" s="530">
        <v>475.07018902780413</v>
      </c>
      <c r="I118" s="530">
        <v>1008.3319127158255</v>
      </c>
      <c r="J118" s="530">
        <v>2071.8487965433919</v>
      </c>
      <c r="K118" s="530">
        <v>3077.4308027800153</v>
      </c>
      <c r="L118" s="530">
        <v>4081.031065330611</v>
      </c>
      <c r="M118" s="530">
        <v>4019.5298160613465</v>
      </c>
      <c r="N118" s="530">
        <v>5098.953411449429</v>
      </c>
      <c r="O118" s="530">
        <v>5900.4786611581703</v>
      </c>
      <c r="P118" s="530">
        <v>3669.5332609452985</v>
      </c>
      <c r="Q118" s="530">
        <v>2455.1294071342122</v>
      </c>
      <c r="R118" s="530">
        <v>1266.1076132762742</v>
      </c>
      <c r="S118" s="530">
        <v>671.43468858227004</v>
      </c>
      <c r="T118" s="530">
        <v>33794.879625004651</v>
      </c>
      <c r="U118" s="530" t="s">
        <v>57</v>
      </c>
    </row>
    <row r="119" spans="1:21" ht="13.8" x14ac:dyDescent="0.3">
      <c r="A119" s="530" t="str">
        <f t="shared" si="2"/>
        <v>Conwy.2013.Economic Impact.Shopping</v>
      </c>
      <c r="B119" s="530" t="s">
        <v>219</v>
      </c>
      <c r="C119" s="530" t="str">
        <f t="shared" si="3"/>
        <v>2013.Economic Impact.Shopping</v>
      </c>
      <c r="D119" s="530" t="s">
        <v>232</v>
      </c>
      <c r="E119" s="530" t="s">
        <v>17</v>
      </c>
      <c r="F119" s="530" t="s">
        <v>51</v>
      </c>
      <c r="G119" s="530" t="s">
        <v>51</v>
      </c>
      <c r="H119" s="530">
        <v>2332.9222557031521</v>
      </c>
      <c r="I119" s="530">
        <v>5726.5594418049259</v>
      </c>
      <c r="J119" s="530">
        <v>9132.1917458920234</v>
      </c>
      <c r="K119" s="530">
        <v>16382.138119768795</v>
      </c>
      <c r="L119" s="530">
        <v>22058.733502199517</v>
      </c>
      <c r="M119" s="530">
        <v>18344.015582920372</v>
      </c>
      <c r="N119" s="530">
        <v>25929.370817600637</v>
      </c>
      <c r="O119" s="530">
        <v>30026.916492830696</v>
      </c>
      <c r="P119" s="530">
        <v>17638.199728916818</v>
      </c>
      <c r="Q119" s="530">
        <v>11750.923052369446</v>
      </c>
      <c r="R119" s="530">
        <v>5215.1037061868183</v>
      </c>
      <c r="S119" s="530">
        <v>2599.3136419867419</v>
      </c>
      <c r="T119" s="530">
        <v>167136.38808817993</v>
      </c>
      <c r="U119" s="530" t="s">
        <v>57</v>
      </c>
    </row>
    <row r="120" spans="1:21" ht="13.8" x14ac:dyDescent="0.3">
      <c r="A120" s="530" t="str">
        <f t="shared" si="2"/>
        <v>Conwy.2013.Economic Impact.Transport</v>
      </c>
      <c r="B120" s="530" t="s">
        <v>219</v>
      </c>
      <c r="C120" s="530" t="str">
        <f t="shared" si="3"/>
        <v>2013.Economic Impact.Transport</v>
      </c>
      <c r="D120" s="530" t="s">
        <v>232</v>
      </c>
      <c r="E120" s="530" t="s">
        <v>17</v>
      </c>
      <c r="F120" s="530" t="s">
        <v>52</v>
      </c>
      <c r="G120" s="530" t="s">
        <v>52</v>
      </c>
      <c r="H120" s="530">
        <v>691.32903243713099</v>
      </c>
      <c r="I120" s="530">
        <v>1579.9055841818476</v>
      </c>
      <c r="J120" s="530">
        <v>3008.3904668216755</v>
      </c>
      <c r="K120" s="530">
        <v>4852.5188021972754</v>
      </c>
      <c r="L120" s="530">
        <v>6463.9053289405529</v>
      </c>
      <c r="M120" s="530">
        <v>5849.9301873053491</v>
      </c>
      <c r="N120" s="530">
        <v>7868.1366217479053</v>
      </c>
      <c r="O120" s="530">
        <v>9027.1391393352806</v>
      </c>
      <c r="P120" s="530">
        <v>5493.3075045073556</v>
      </c>
      <c r="Q120" s="530">
        <v>3776.534592389829</v>
      </c>
      <c r="R120" s="530">
        <v>1838.3815970234045</v>
      </c>
      <c r="S120" s="530">
        <v>924.07571968598484</v>
      </c>
      <c r="T120" s="530">
        <v>51373.554576573588</v>
      </c>
      <c r="U120" s="530" t="s">
        <v>57</v>
      </c>
    </row>
    <row r="121" spans="1:21" ht="13.8" x14ac:dyDescent="0.3">
      <c r="A121" s="530" t="str">
        <f t="shared" si="2"/>
        <v>Conwy.2013.Economic Impact.Direct Expenditure</v>
      </c>
      <c r="B121" s="530" t="s">
        <v>219</v>
      </c>
      <c r="C121" s="530" t="str">
        <f t="shared" si="3"/>
        <v>2013.Economic Impact.Direct Expenditure</v>
      </c>
      <c r="D121" s="530" t="s">
        <v>232</v>
      </c>
      <c r="E121" s="530" t="s">
        <v>17</v>
      </c>
      <c r="F121" s="530" t="s">
        <v>44</v>
      </c>
      <c r="G121" s="530" t="s">
        <v>44</v>
      </c>
      <c r="H121" s="530">
        <v>9338.2139219941</v>
      </c>
      <c r="I121" s="530">
        <v>20519.885758273562</v>
      </c>
      <c r="J121" s="530">
        <v>32346.476666132843</v>
      </c>
      <c r="K121" s="530">
        <v>50308.671735437281</v>
      </c>
      <c r="L121" s="530">
        <v>67240.723065555518</v>
      </c>
      <c r="M121" s="530">
        <v>60470.9366166986</v>
      </c>
      <c r="N121" s="530">
        <v>83258.838668314478</v>
      </c>
      <c r="O121" s="530">
        <v>97496.12723268391</v>
      </c>
      <c r="P121" s="530">
        <v>62118.399739501343</v>
      </c>
      <c r="Q121" s="530">
        <v>39798.676375925999</v>
      </c>
      <c r="R121" s="530">
        <v>22259.966261214257</v>
      </c>
      <c r="S121" s="530">
        <v>12741.893035948609</v>
      </c>
      <c r="T121" s="530">
        <v>557898.80907768058</v>
      </c>
      <c r="U121" s="530" t="s">
        <v>57</v>
      </c>
    </row>
    <row r="122" spans="1:21" ht="13.8" x14ac:dyDescent="0.3">
      <c r="A122" s="530" t="str">
        <f t="shared" si="2"/>
        <v>Conwy.2013.Population.Total</v>
      </c>
      <c r="B122" s="530" t="s">
        <v>219</v>
      </c>
      <c r="C122" s="530" t="str">
        <f t="shared" si="3"/>
        <v>2013.Population.Total</v>
      </c>
      <c r="D122" s="530" t="s">
        <v>232</v>
      </c>
      <c r="E122" s="530" t="s">
        <v>19</v>
      </c>
      <c r="F122" s="530" t="s">
        <v>54</v>
      </c>
      <c r="G122" s="530" t="s">
        <v>54</v>
      </c>
      <c r="H122" s="530">
        <v>115515</v>
      </c>
      <c r="I122" s="530">
        <v>115515</v>
      </c>
      <c r="J122" s="530">
        <v>115515</v>
      </c>
      <c r="K122" s="530">
        <v>115515</v>
      </c>
      <c r="L122" s="530">
        <v>115515</v>
      </c>
      <c r="M122" s="530">
        <v>115515</v>
      </c>
      <c r="N122" s="530">
        <v>115515</v>
      </c>
      <c r="O122" s="530">
        <v>115515</v>
      </c>
      <c r="P122" s="530">
        <v>115515</v>
      </c>
      <c r="Q122" s="530">
        <v>115515</v>
      </c>
      <c r="R122" s="530">
        <v>115515</v>
      </c>
      <c r="S122" s="530">
        <v>115515</v>
      </c>
      <c r="T122" s="530">
        <v>115515</v>
      </c>
      <c r="U122" s="530" t="s">
        <v>60</v>
      </c>
    </row>
    <row r="123" spans="1:21" ht="13.8" x14ac:dyDescent="0.3">
      <c r="A123" s="530" t="str">
        <f t="shared" si="2"/>
        <v>Conwy.2013.Employment.Serviced Accommodation</v>
      </c>
      <c r="B123" s="530" t="s">
        <v>219</v>
      </c>
      <c r="C123" s="530" t="str">
        <f t="shared" si="3"/>
        <v>2013.Employment.Serviced Accommodation</v>
      </c>
      <c r="D123" s="530" t="s">
        <v>232</v>
      </c>
      <c r="E123" s="530" t="s">
        <v>20</v>
      </c>
      <c r="F123" s="530" t="s">
        <v>43</v>
      </c>
      <c r="G123" s="530" t="s">
        <v>43</v>
      </c>
      <c r="H123" s="530">
        <v>2196.9136816127238</v>
      </c>
      <c r="I123" s="530">
        <v>2805.8273971473482</v>
      </c>
      <c r="J123" s="530">
        <v>2891.4868968632627</v>
      </c>
      <c r="K123" s="530">
        <v>3157.3867085231577</v>
      </c>
      <c r="L123" s="530">
        <v>3537.0899728535655</v>
      </c>
      <c r="M123" s="530">
        <v>3339.890298920885</v>
      </c>
      <c r="N123" s="530">
        <v>3410.9319410864164</v>
      </c>
      <c r="O123" s="530">
        <v>3579.4240856890819</v>
      </c>
      <c r="P123" s="530">
        <v>3225.9937331908209</v>
      </c>
      <c r="Q123" s="530">
        <v>3091.4969298901929</v>
      </c>
      <c r="R123" s="530">
        <v>2963.4480247878473</v>
      </c>
      <c r="S123" s="530">
        <v>2630.2377774982838</v>
      </c>
      <c r="T123" s="530">
        <v>3069.1772873386321</v>
      </c>
      <c r="U123" s="530" t="s">
        <v>59</v>
      </c>
    </row>
    <row r="124" spans="1:21" ht="13.8" x14ac:dyDescent="0.3">
      <c r="A124" s="530" t="str">
        <f t="shared" si="2"/>
        <v>Conwy.2013.Employment.Non-Serviced Accommodation</v>
      </c>
      <c r="B124" s="530" t="s">
        <v>219</v>
      </c>
      <c r="C124" s="530" t="str">
        <f t="shared" si="3"/>
        <v>2013.Employment.Non-Serviced Accommodation</v>
      </c>
      <c r="D124" s="530" t="s">
        <v>232</v>
      </c>
      <c r="E124" s="530" t="s">
        <v>20</v>
      </c>
      <c r="F124" s="530" t="s">
        <v>48</v>
      </c>
      <c r="G124" s="530" t="s">
        <v>48</v>
      </c>
      <c r="H124" s="530">
        <v>959.42739474112898</v>
      </c>
      <c r="I124" s="530">
        <v>1038.8505219196159</v>
      </c>
      <c r="J124" s="530">
        <v>3344.7404794989825</v>
      </c>
      <c r="K124" s="530">
        <v>3930.6427083632507</v>
      </c>
      <c r="L124" s="530">
        <v>4704.5306339114213</v>
      </c>
      <c r="M124" s="530">
        <v>5308.3900177305295</v>
      </c>
      <c r="N124" s="530">
        <v>6159.5620817532599</v>
      </c>
      <c r="O124" s="530">
        <v>6998.8380687029512</v>
      </c>
      <c r="P124" s="530">
        <v>4910.7091785836583</v>
      </c>
      <c r="Q124" s="530">
        <v>3938.026859846957</v>
      </c>
      <c r="R124" s="530">
        <v>2194.4944552462598</v>
      </c>
      <c r="S124" s="530">
        <v>1098.6581165779739</v>
      </c>
      <c r="T124" s="530">
        <v>3715.5725430729985</v>
      </c>
      <c r="U124" s="530" t="s">
        <v>59</v>
      </c>
    </row>
    <row r="125" spans="1:21" ht="13.8" x14ac:dyDescent="0.3">
      <c r="A125" s="530" t="str">
        <f t="shared" si="2"/>
        <v>Conwy.2013.Employment.SFR</v>
      </c>
      <c r="B125" s="530" t="s">
        <v>219</v>
      </c>
      <c r="C125" s="530" t="str">
        <f t="shared" si="3"/>
        <v>2013.Employment.SFR</v>
      </c>
      <c r="D125" s="530" t="s">
        <v>232</v>
      </c>
      <c r="E125" s="530" t="s">
        <v>20</v>
      </c>
      <c r="F125" s="530" t="s">
        <v>18</v>
      </c>
      <c r="G125" s="530" t="s">
        <v>18</v>
      </c>
      <c r="H125" s="530">
        <v>249.08966823416281</v>
      </c>
      <c r="I125" s="530">
        <v>83.694128526678696</v>
      </c>
      <c r="J125" s="530">
        <v>95.207606525057798</v>
      </c>
      <c r="K125" s="530">
        <v>227.16977742955652</v>
      </c>
      <c r="L125" s="530">
        <v>146.13260536404221</v>
      </c>
      <c r="M125" s="530">
        <v>112.5686028683829</v>
      </c>
      <c r="N125" s="530">
        <v>182.66575670505276</v>
      </c>
      <c r="O125" s="530">
        <v>193.3688629827767</v>
      </c>
      <c r="P125" s="530">
        <v>99.600662620554743</v>
      </c>
      <c r="Q125" s="530">
        <v>99.503019470606901</v>
      </c>
      <c r="R125" s="530">
        <v>77.533310732353755</v>
      </c>
      <c r="S125" s="530">
        <v>224.51282096839213</v>
      </c>
      <c r="T125" s="530">
        <v>149.25390186896814</v>
      </c>
      <c r="U125" s="530" t="s">
        <v>59</v>
      </c>
    </row>
    <row r="126" spans="1:21" ht="13.8" x14ac:dyDescent="0.3">
      <c r="A126" s="530" t="str">
        <f t="shared" si="2"/>
        <v>Conwy.2013.Employment.Day Visitor</v>
      </c>
      <c r="B126" s="530" t="s">
        <v>219</v>
      </c>
      <c r="C126" s="530" t="str">
        <f t="shared" si="3"/>
        <v>2013.Employment.Day Visitor</v>
      </c>
      <c r="D126" s="530" t="s">
        <v>232</v>
      </c>
      <c r="E126" s="530" t="s">
        <v>20</v>
      </c>
      <c r="F126" s="530" t="s">
        <v>71</v>
      </c>
      <c r="G126" s="530" t="s">
        <v>71</v>
      </c>
      <c r="H126" s="530">
        <v>294.6590568412704</v>
      </c>
      <c r="I126" s="530">
        <v>1358.4107280703681</v>
      </c>
      <c r="J126" s="530">
        <v>1407.4566207410403</v>
      </c>
      <c r="K126" s="530">
        <v>3527.2002441355935</v>
      </c>
      <c r="L126" s="530">
        <v>4974.0003840941272</v>
      </c>
      <c r="M126" s="530">
        <v>3507.8178167240676</v>
      </c>
      <c r="N126" s="530">
        <v>5599.894464916003</v>
      </c>
      <c r="O126" s="530">
        <v>6551.1239768280329</v>
      </c>
      <c r="P126" s="530">
        <v>3486.17953887058</v>
      </c>
      <c r="Q126" s="530">
        <v>1875.9757685472798</v>
      </c>
      <c r="R126" s="530">
        <v>539.34477621342739</v>
      </c>
      <c r="S126" s="530">
        <v>187.61764310817625</v>
      </c>
      <c r="T126" s="530">
        <v>2775.8067515908301</v>
      </c>
      <c r="U126" s="530" t="s">
        <v>59</v>
      </c>
    </row>
    <row r="127" spans="1:21" ht="13.8" x14ac:dyDescent="0.3">
      <c r="A127" s="530" t="str">
        <f t="shared" si="2"/>
        <v>Conwy.2013.Employment.Direct Employment</v>
      </c>
      <c r="B127" s="530" t="s">
        <v>219</v>
      </c>
      <c r="C127" s="530" t="str">
        <f t="shared" si="3"/>
        <v>2013.Employment.Direct Employment</v>
      </c>
      <c r="D127" s="530" t="s">
        <v>232</v>
      </c>
      <c r="E127" s="530" t="s">
        <v>20</v>
      </c>
      <c r="F127" s="530" t="s">
        <v>55</v>
      </c>
      <c r="G127" s="530" t="s">
        <v>55</v>
      </c>
      <c r="H127" s="530">
        <v>3700.0898014292857</v>
      </c>
      <c r="I127" s="530">
        <v>5286.7827756640108</v>
      </c>
      <c r="J127" s="530">
        <v>7738.8916036283426</v>
      </c>
      <c r="K127" s="530">
        <v>10842.399438451557</v>
      </c>
      <c r="L127" s="530">
        <v>13361.753596223156</v>
      </c>
      <c r="M127" s="530">
        <v>12268.666736243866</v>
      </c>
      <c r="N127" s="530">
        <v>15353.054244460734</v>
      </c>
      <c r="O127" s="530">
        <v>17322.754994202842</v>
      </c>
      <c r="P127" s="530">
        <v>11722.483113265613</v>
      </c>
      <c r="Q127" s="530">
        <v>9005.0025777550363</v>
      </c>
      <c r="R127" s="530">
        <v>5774.820566979889</v>
      </c>
      <c r="S127" s="530">
        <v>4141.0263581528261</v>
      </c>
      <c r="T127" s="530">
        <v>9709.8104838714298</v>
      </c>
      <c r="U127" s="530" t="s">
        <v>59</v>
      </c>
    </row>
    <row r="128" spans="1:21" ht="13.8" x14ac:dyDescent="0.3">
      <c r="A128" s="530" t="str">
        <f t="shared" si="2"/>
        <v>Conwy.2013.Employment.Indirect Employment</v>
      </c>
      <c r="B128" s="530" t="s">
        <v>219</v>
      </c>
      <c r="C128" s="530" t="str">
        <f t="shared" si="3"/>
        <v>2013.Employment.Indirect Employment</v>
      </c>
      <c r="D128" s="530" t="s">
        <v>232</v>
      </c>
      <c r="E128" s="530" t="s">
        <v>20</v>
      </c>
      <c r="F128" s="530" t="s">
        <v>53</v>
      </c>
      <c r="G128" s="530" t="s">
        <v>53</v>
      </c>
      <c r="H128" s="530">
        <v>455.34598955764153</v>
      </c>
      <c r="I128" s="530">
        <v>991.21838721337656</v>
      </c>
      <c r="J128" s="530">
        <v>1627.1285569339216</v>
      </c>
      <c r="K128" s="530">
        <v>2551.4681594128429</v>
      </c>
      <c r="L128" s="530">
        <v>3416.9318342083207</v>
      </c>
      <c r="M128" s="530">
        <v>3068.6090923394158</v>
      </c>
      <c r="N128" s="530">
        <v>4232.0855889962204</v>
      </c>
      <c r="O128" s="530">
        <v>4978.8748115963144</v>
      </c>
      <c r="P128" s="530">
        <v>3158.254110478324</v>
      </c>
      <c r="Q128" s="530">
        <v>2009.0196363565642</v>
      </c>
      <c r="R128" s="530">
        <v>1069.5793645744961</v>
      </c>
      <c r="S128" s="530">
        <v>595.84376061253079</v>
      </c>
      <c r="T128" s="530">
        <v>2346.1966076899971</v>
      </c>
      <c r="U128" s="530" t="s">
        <v>59</v>
      </c>
    </row>
    <row r="129" spans="1:21" ht="13.8" x14ac:dyDescent="0.3">
      <c r="A129" s="530" t="str">
        <f t="shared" si="2"/>
        <v>Conwy.2013.Employment.Total</v>
      </c>
      <c r="B129" s="530" t="s">
        <v>219</v>
      </c>
      <c r="C129" s="530" t="str">
        <f t="shared" si="3"/>
        <v>2013.Employment.Total</v>
      </c>
      <c r="D129" s="530" t="s">
        <v>232</v>
      </c>
      <c r="E129" s="530" t="s">
        <v>20</v>
      </c>
      <c r="F129" s="530" t="s">
        <v>54</v>
      </c>
      <c r="G129" s="530" t="s">
        <v>54</v>
      </c>
      <c r="H129" s="530">
        <v>4155.4357909869268</v>
      </c>
      <c r="I129" s="530">
        <v>6278.0011628773873</v>
      </c>
      <c r="J129" s="530">
        <v>9366.0201605622642</v>
      </c>
      <c r="K129" s="530">
        <v>13393.867597864401</v>
      </c>
      <c r="L129" s="530">
        <v>16778.685430431477</v>
      </c>
      <c r="M129" s="530">
        <v>15337.275828583282</v>
      </c>
      <c r="N129" s="530">
        <v>19585.139833456953</v>
      </c>
      <c r="O129" s="530">
        <v>22301.629805799155</v>
      </c>
      <c r="P129" s="530">
        <v>14880.737223743938</v>
      </c>
      <c r="Q129" s="530">
        <v>11014.022214111601</v>
      </c>
      <c r="R129" s="530">
        <v>6844.3999315543851</v>
      </c>
      <c r="S129" s="530">
        <v>4736.8701187653569</v>
      </c>
      <c r="T129" s="530">
        <v>12056.007091561429</v>
      </c>
      <c r="U129" s="530" t="s">
        <v>59</v>
      </c>
    </row>
    <row r="130" spans="1:21" ht="13.8" x14ac:dyDescent="0.3">
      <c r="A130" s="530" t="str">
        <f t="shared" si="2"/>
        <v>Conwy.2013.Employment.Accommodation</v>
      </c>
      <c r="B130" s="530" t="s">
        <v>219</v>
      </c>
      <c r="C130" s="530" t="str">
        <f t="shared" si="3"/>
        <v>2013.Employment.Accommodation</v>
      </c>
      <c r="D130" s="530" t="s">
        <v>232</v>
      </c>
      <c r="E130" s="530" t="s">
        <v>20</v>
      </c>
      <c r="F130" s="530" t="s">
        <v>23</v>
      </c>
      <c r="G130" s="530" t="s">
        <v>23</v>
      </c>
      <c r="H130" s="530">
        <v>2608</v>
      </c>
      <c r="I130" s="530">
        <v>2830.2049261083744</v>
      </c>
      <c r="J130" s="530">
        <v>3271.2000000000003</v>
      </c>
      <c r="K130" s="530">
        <v>3416.6</v>
      </c>
      <c r="L130" s="530">
        <v>3472.7071397544637</v>
      </c>
      <c r="M130" s="530">
        <v>3512.9151515151516</v>
      </c>
      <c r="N130" s="530">
        <v>3438.9</v>
      </c>
      <c r="O130" s="530">
        <v>3612.0197017647042</v>
      </c>
      <c r="P130" s="530">
        <v>3434.7</v>
      </c>
      <c r="Q130" s="530">
        <v>3374.2999999999997</v>
      </c>
      <c r="R130" s="530">
        <v>3097</v>
      </c>
      <c r="S130" s="530">
        <v>2779.2</v>
      </c>
      <c r="T130" s="530">
        <v>3237.3122432618911</v>
      </c>
      <c r="U130" s="530" t="s">
        <v>59</v>
      </c>
    </row>
    <row r="131" spans="1:21" ht="13.8" x14ac:dyDescent="0.3">
      <c r="A131" s="530" t="str">
        <f t="shared" si="2"/>
        <v>Conwy.2013.Employment.Food &amp; Drink</v>
      </c>
      <c r="B131" s="530" t="s">
        <v>219</v>
      </c>
      <c r="C131" s="530" t="str">
        <f t="shared" si="3"/>
        <v>2013.Employment.Food &amp; Drink</v>
      </c>
      <c r="D131" s="530" t="s">
        <v>232</v>
      </c>
      <c r="E131" s="530" t="s">
        <v>20</v>
      </c>
      <c r="F131" s="530" t="s">
        <v>49</v>
      </c>
      <c r="G131" s="530" t="s">
        <v>49</v>
      </c>
      <c r="H131" s="530">
        <v>372.2245817537808</v>
      </c>
      <c r="I131" s="530">
        <v>747.81236617813352</v>
      </c>
      <c r="J131" s="530">
        <v>1555.9853537981587</v>
      </c>
      <c r="K131" s="530">
        <v>2446.0130070063938</v>
      </c>
      <c r="L131" s="530">
        <v>3209.391315539604</v>
      </c>
      <c r="M131" s="530">
        <v>2968.814505226343</v>
      </c>
      <c r="N131" s="530">
        <v>3946.0599509706426</v>
      </c>
      <c r="O131" s="530">
        <v>4493.7062538085111</v>
      </c>
      <c r="P131" s="530">
        <v>2794.2029681722956</v>
      </c>
      <c r="Q131" s="530">
        <v>1955.2805418282007</v>
      </c>
      <c r="R131" s="530">
        <v>978.13043695930526</v>
      </c>
      <c r="S131" s="530">
        <v>502.1235832814935</v>
      </c>
      <c r="T131" s="530">
        <v>2164.1454053769053</v>
      </c>
      <c r="U131" s="530" t="s">
        <v>59</v>
      </c>
    </row>
    <row r="132" spans="1:21" ht="13.8" x14ac:dyDescent="0.3">
      <c r="A132" s="530" t="str">
        <f t="shared" si="2"/>
        <v>Conwy.2013.Employment.Recreation</v>
      </c>
      <c r="B132" s="530" t="s">
        <v>219</v>
      </c>
      <c r="C132" s="530" t="str">
        <f t="shared" si="3"/>
        <v>2013.Employment.Recreation</v>
      </c>
      <c r="D132" s="530" t="s">
        <v>232</v>
      </c>
      <c r="E132" s="530" t="s">
        <v>20</v>
      </c>
      <c r="F132" s="530" t="s">
        <v>50</v>
      </c>
      <c r="G132" s="530" t="s">
        <v>50</v>
      </c>
      <c r="H132" s="530">
        <v>137.77731582012026</v>
      </c>
      <c r="I132" s="530">
        <v>292.43102934758855</v>
      </c>
      <c r="J132" s="530">
        <v>600.86650891956606</v>
      </c>
      <c r="K132" s="530">
        <v>892.50002509497222</v>
      </c>
      <c r="L132" s="530">
        <v>1183.5588065637803</v>
      </c>
      <c r="M132" s="530">
        <v>1165.7225431239638</v>
      </c>
      <c r="N132" s="530">
        <v>1478.7712021227912</v>
      </c>
      <c r="O132" s="530">
        <v>1711.2252689479751</v>
      </c>
      <c r="P132" s="530">
        <v>1064.2184137891811</v>
      </c>
      <c r="Q132" s="530">
        <v>712.02350203918559</v>
      </c>
      <c r="R132" s="530">
        <v>367.18975958816583</v>
      </c>
      <c r="S132" s="530">
        <v>194.72589793667169</v>
      </c>
      <c r="T132" s="530">
        <v>816.75085610783026</v>
      </c>
      <c r="U132" s="530" t="s">
        <v>59</v>
      </c>
    </row>
    <row r="133" spans="1:21" ht="13.8" x14ac:dyDescent="0.3">
      <c r="A133" s="530" t="str">
        <f t="shared" si="2"/>
        <v>Conwy.2013.Employment.Shopping</v>
      </c>
      <c r="B133" s="530" t="s">
        <v>219</v>
      </c>
      <c r="C133" s="530" t="str">
        <f t="shared" si="3"/>
        <v>2013.Employment.Shopping</v>
      </c>
      <c r="D133" s="530" t="s">
        <v>232</v>
      </c>
      <c r="E133" s="530" t="s">
        <v>20</v>
      </c>
      <c r="F133" s="530" t="s">
        <v>51</v>
      </c>
      <c r="G133" s="530" t="s">
        <v>51</v>
      </c>
      <c r="H133" s="530">
        <v>508.2755498030017</v>
      </c>
      <c r="I133" s="530">
        <v>1247.6498698777605</v>
      </c>
      <c r="J133" s="530">
        <v>1989.6375754496303</v>
      </c>
      <c r="K133" s="530">
        <v>3569.1889172125516</v>
      </c>
      <c r="L133" s="530">
        <v>4805.9530793961394</v>
      </c>
      <c r="M133" s="530">
        <v>3996.6246552838716</v>
      </c>
      <c r="N133" s="530">
        <v>5649.2517811698735</v>
      </c>
      <c r="O133" s="530">
        <v>6541.9871802295993</v>
      </c>
      <c r="P133" s="530">
        <v>3842.8480172598997</v>
      </c>
      <c r="Q133" s="530">
        <v>2560.1825609639309</v>
      </c>
      <c r="R133" s="530">
        <v>1136.2186189710133</v>
      </c>
      <c r="S133" s="530">
        <v>566.31444415324017</v>
      </c>
      <c r="T133" s="530">
        <v>3034.5110208142091</v>
      </c>
      <c r="U133" s="530" t="s">
        <v>59</v>
      </c>
    </row>
    <row r="134" spans="1:21" ht="13.8" x14ac:dyDescent="0.3">
      <c r="A134" s="530" t="str">
        <f t="shared" si="2"/>
        <v>Conwy.2013.Employment.Transport</v>
      </c>
      <c r="B134" s="530" t="s">
        <v>219</v>
      </c>
      <c r="C134" s="530" t="str">
        <f t="shared" si="3"/>
        <v>2013.Employment.Transport</v>
      </c>
      <c r="D134" s="530" t="s">
        <v>232</v>
      </c>
      <c r="E134" s="530" t="s">
        <v>20</v>
      </c>
      <c r="F134" s="530" t="s">
        <v>52</v>
      </c>
      <c r="G134" s="530" t="s">
        <v>52</v>
      </c>
      <c r="H134" s="530">
        <v>73.812354052383341</v>
      </c>
      <c r="I134" s="530">
        <v>168.68458415215349</v>
      </c>
      <c r="J134" s="530">
        <v>321.20216546098834</v>
      </c>
      <c r="K134" s="530">
        <v>518.09748913764111</v>
      </c>
      <c r="L134" s="530">
        <v>690.14325496916865</v>
      </c>
      <c r="M134" s="530">
        <v>624.58988109453514</v>
      </c>
      <c r="N134" s="530">
        <v>840.07131019742656</v>
      </c>
      <c r="O134" s="530">
        <v>963.81658945205231</v>
      </c>
      <c r="P134" s="530">
        <v>586.51371404423821</v>
      </c>
      <c r="Q134" s="530">
        <v>403.21597292371933</v>
      </c>
      <c r="R134" s="530">
        <v>196.28175146140345</v>
      </c>
      <c r="S134" s="530">
        <v>98.662432781420435</v>
      </c>
      <c r="T134" s="530">
        <v>457.0909583105942</v>
      </c>
      <c r="U134" s="530" t="s">
        <v>59</v>
      </c>
    </row>
    <row r="135" spans="1:21" ht="13.8" x14ac:dyDescent="0.3">
      <c r="A135" s="530" t="str">
        <f t="shared" si="2"/>
        <v>Conwy.2013.Visitor Days.Serviced Accommodation</v>
      </c>
      <c r="B135" s="530" t="s">
        <v>219</v>
      </c>
      <c r="C135" s="530" t="str">
        <f t="shared" si="3"/>
        <v>2013.Visitor Days.Serviced Accommodation</v>
      </c>
      <c r="D135" s="530" t="s">
        <v>232</v>
      </c>
      <c r="E135" s="530" t="s">
        <v>171</v>
      </c>
      <c r="F135" s="530" t="s">
        <v>43</v>
      </c>
      <c r="G135" s="530" t="s">
        <v>43</v>
      </c>
      <c r="H135" s="530">
        <v>73.182850292169746</v>
      </c>
      <c r="I135" s="530">
        <v>158.52043329566237</v>
      </c>
      <c r="J135" s="530">
        <v>132.06852241457113</v>
      </c>
      <c r="K135" s="530">
        <v>168.32396915979569</v>
      </c>
      <c r="L135" s="530">
        <v>236.01629905890366</v>
      </c>
      <c r="M135" s="530">
        <v>198.91818598170477</v>
      </c>
      <c r="N135" s="530">
        <v>210.10779936657968</v>
      </c>
      <c r="O135" s="530">
        <v>242.01676624549629</v>
      </c>
      <c r="P135" s="530">
        <v>175.54513140978463</v>
      </c>
      <c r="Q135" s="530">
        <v>161.41920210932579</v>
      </c>
      <c r="R135" s="530">
        <v>158.80692119069678</v>
      </c>
      <c r="S135" s="530">
        <v>124.56653353178285</v>
      </c>
      <c r="T135" s="530">
        <v>2039.4926140564733</v>
      </c>
      <c r="U135" s="530" t="s">
        <v>61</v>
      </c>
    </row>
    <row r="136" spans="1:21" ht="13.8" x14ac:dyDescent="0.3">
      <c r="A136" s="530" t="str">
        <f t="shared" si="2"/>
        <v>Conwy.2013.Visitor Days.Non-Serviced Accommodation</v>
      </c>
      <c r="B136" s="530" t="s">
        <v>219</v>
      </c>
      <c r="C136" s="530" t="str">
        <f t="shared" si="3"/>
        <v>2013.Visitor Days.Non-Serviced Accommodation</v>
      </c>
      <c r="D136" s="530" t="s">
        <v>232</v>
      </c>
      <c r="E136" s="530" t="s">
        <v>171</v>
      </c>
      <c r="F136" s="530" t="s">
        <v>48</v>
      </c>
      <c r="G136" s="530" t="s">
        <v>48</v>
      </c>
      <c r="H136" s="530">
        <v>41.668338422045878</v>
      </c>
      <c r="I136" s="530">
        <v>55.421417217019858</v>
      </c>
      <c r="J136" s="530">
        <v>554.64485501319064</v>
      </c>
      <c r="K136" s="530">
        <v>684.17982403782014</v>
      </c>
      <c r="L136" s="530">
        <v>859.50831740160777</v>
      </c>
      <c r="M136" s="530">
        <v>989.60774044950858</v>
      </c>
      <c r="N136" s="530">
        <v>1204.2293965243866</v>
      </c>
      <c r="O136" s="530">
        <v>1360.6893410878552</v>
      </c>
      <c r="P136" s="530">
        <v>918.10915693591869</v>
      </c>
      <c r="Q136" s="530">
        <v>683.17094671785833</v>
      </c>
      <c r="R136" s="530">
        <v>309.97060079217846</v>
      </c>
      <c r="S136" s="530">
        <v>70.631764994443159</v>
      </c>
      <c r="T136" s="530">
        <v>7731.8316995938321</v>
      </c>
      <c r="U136" s="530" t="s">
        <v>61</v>
      </c>
    </row>
    <row r="137" spans="1:21" ht="13.8" x14ac:dyDescent="0.3">
      <c r="A137" s="530" t="str">
        <f t="shared" ref="A137:A200" si="4">B137&amp;"."&amp;D137&amp;"."&amp;E137&amp;"."&amp;F137</f>
        <v>Conwy.2013.Visitor Days.SFR</v>
      </c>
      <c r="B137" s="530" t="s">
        <v>219</v>
      </c>
      <c r="C137" s="530" t="str">
        <f t="shared" ref="C137:C200" si="5">D137&amp;"."&amp;E137&amp;"."&amp;F137</f>
        <v>2013.Visitor Days.SFR</v>
      </c>
      <c r="D137" s="530" t="s">
        <v>232</v>
      </c>
      <c r="E137" s="530" t="s">
        <v>171</v>
      </c>
      <c r="F137" s="530" t="s">
        <v>18</v>
      </c>
      <c r="G137" s="530" t="s">
        <v>18</v>
      </c>
      <c r="H137" s="530">
        <v>59.070170454545448</v>
      </c>
      <c r="I137" s="530">
        <v>19.847577272727268</v>
      </c>
      <c r="J137" s="530">
        <v>22.577931818181817</v>
      </c>
      <c r="K137" s="530">
        <v>53.871995454545448</v>
      </c>
      <c r="L137" s="530">
        <v>34.654499999999999</v>
      </c>
      <c r="M137" s="530">
        <v>26.694991431818185</v>
      </c>
      <c r="N137" s="530">
        <v>43.318125000000002</v>
      </c>
      <c r="O137" s="530">
        <v>45.85630459090909</v>
      </c>
      <c r="P137" s="530">
        <v>23.619719597727276</v>
      </c>
      <c r="Q137" s="530">
        <v>23.596564090909087</v>
      </c>
      <c r="R137" s="530">
        <v>18.386575056818181</v>
      </c>
      <c r="S137" s="530">
        <v>53.241913636363641</v>
      </c>
      <c r="T137" s="530">
        <v>424.73636840454537</v>
      </c>
      <c r="U137" s="530" t="s">
        <v>61</v>
      </c>
    </row>
    <row r="138" spans="1:21" ht="13.8" x14ac:dyDescent="0.3">
      <c r="A138" s="530" t="str">
        <f t="shared" si="4"/>
        <v>Conwy.2013.Visitor Days.Day Visitor</v>
      </c>
      <c r="B138" s="530" t="s">
        <v>219</v>
      </c>
      <c r="C138" s="530" t="str">
        <f t="shared" si="5"/>
        <v>2013.Visitor Days.Day Visitor</v>
      </c>
      <c r="D138" s="530" t="s">
        <v>232</v>
      </c>
      <c r="E138" s="530" t="s">
        <v>171</v>
      </c>
      <c r="F138" s="530" t="s">
        <v>71</v>
      </c>
      <c r="G138" s="530" t="s">
        <v>71</v>
      </c>
      <c r="H138" s="530">
        <v>52.783513160080531</v>
      </c>
      <c r="I138" s="530">
        <v>243.3378132358639</v>
      </c>
      <c r="J138" s="530">
        <v>252.12360977299488</v>
      </c>
      <c r="K138" s="530">
        <v>631.84217889105116</v>
      </c>
      <c r="L138" s="530">
        <v>891.01355833602702</v>
      </c>
      <c r="M138" s="530">
        <v>628.37012334550695</v>
      </c>
      <c r="N138" s="530">
        <v>1003.1325911125239</v>
      </c>
      <c r="O138" s="530">
        <v>1173.530324677906</v>
      </c>
      <c r="P138" s="530">
        <v>624.49396784536793</v>
      </c>
      <c r="Q138" s="530">
        <v>336.05141049660267</v>
      </c>
      <c r="R138" s="530">
        <v>96.6150927049828</v>
      </c>
      <c r="S138" s="530">
        <v>33.608735601832919</v>
      </c>
      <c r="T138" s="530">
        <v>5966.9029191807404</v>
      </c>
      <c r="U138" s="530" t="s">
        <v>61</v>
      </c>
    </row>
    <row r="139" spans="1:21" ht="13.8" x14ac:dyDescent="0.3">
      <c r="A139" s="530" t="str">
        <f t="shared" si="4"/>
        <v>Conwy.2013.Visitor Days.Total</v>
      </c>
      <c r="B139" s="530" t="s">
        <v>219</v>
      </c>
      <c r="C139" s="530" t="str">
        <f t="shared" si="5"/>
        <v>2013.Visitor Days.Total</v>
      </c>
      <c r="D139" s="530" t="s">
        <v>232</v>
      </c>
      <c r="E139" s="530" t="s">
        <v>171</v>
      </c>
      <c r="F139" s="530" t="s">
        <v>54</v>
      </c>
      <c r="G139" s="530" t="s">
        <v>54</v>
      </c>
      <c r="H139" s="530">
        <v>226.70487232884159</v>
      </c>
      <c r="I139" s="530">
        <v>477.12724102127345</v>
      </c>
      <c r="J139" s="530">
        <v>961.41491901893846</v>
      </c>
      <c r="K139" s="530">
        <v>1538.2179675432124</v>
      </c>
      <c r="L139" s="530">
        <v>2021.1926747965385</v>
      </c>
      <c r="M139" s="530">
        <v>1843.5910412085384</v>
      </c>
      <c r="N139" s="530">
        <v>2460.7879120034904</v>
      </c>
      <c r="O139" s="530">
        <v>2822.0927366021665</v>
      </c>
      <c r="P139" s="530">
        <v>1741.7679757887984</v>
      </c>
      <c r="Q139" s="530">
        <v>1204.2381234146958</v>
      </c>
      <c r="R139" s="530">
        <v>583.77918974467616</v>
      </c>
      <c r="S139" s="530">
        <v>282.04894776442256</v>
      </c>
      <c r="T139" s="530">
        <v>16162.963601235591</v>
      </c>
      <c r="U139" s="530" t="s">
        <v>61</v>
      </c>
    </row>
    <row r="140" spans="1:21" ht="13.8" x14ac:dyDescent="0.3">
      <c r="A140" s="530" t="str">
        <f t="shared" si="4"/>
        <v>Conwy.2013.Visitor Numbers.Serviced Accommodation</v>
      </c>
      <c r="B140" s="530" t="s">
        <v>219</v>
      </c>
      <c r="C140" s="530" t="str">
        <f t="shared" si="5"/>
        <v>2013.Visitor Numbers.Serviced Accommodation</v>
      </c>
      <c r="D140" s="530" t="s">
        <v>232</v>
      </c>
      <c r="E140" s="530" t="s">
        <v>172</v>
      </c>
      <c r="F140" s="530" t="s">
        <v>43</v>
      </c>
      <c r="G140" s="530" t="s">
        <v>43</v>
      </c>
      <c r="H140" s="530">
        <v>48.148166950074653</v>
      </c>
      <c r="I140" s="530">
        <v>106.64636731974805</v>
      </c>
      <c r="J140" s="530">
        <v>63.912871511985074</v>
      </c>
      <c r="K140" s="530">
        <v>92.43292576534256</v>
      </c>
      <c r="L140" s="530">
        <v>125.35593666562036</v>
      </c>
      <c r="M140" s="530">
        <v>111.8182985821186</v>
      </c>
      <c r="N140" s="530">
        <v>120.67287982337982</v>
      </c>
      <c r="O140" s="530">
        <v>137.01508309708976</v>
      </c>
      <c r="P140" s="530">
        <v>88.936374917520169</v>
      </c>
      <c r="Q140" s="530">
        <v>93.726585137513965</v>
      </c>
      <c r="R140" s="530">
        <v>92.443376865914828</v>
      </c>
      <c r="S140" s="530">
        <v>74.504538072132448</v>
      </c>
      <c r="T140" s="530">
        <v>1155.6134047084402</v>
      </c>
      <c r="U140" s="530" t="s">
        <v>61</v>
      </c>
    </row>
    <row r="141" spans="1:21" ht="13.8" x14ac:dyDescent="0.3">
      <c r="A141" s="530" t="str">
        <f t="shared" si="4"/>
        <v>Conwy.2013.Visitor Numbers.Non-Serviced Accommodation</v>
      </c>
      <c r="B141" s="530" t="s">
        <v>219</v>
      </c>
      <c r="C141" s="530" t="str">
        <f t="shared" si="5"/>
        <v>2013.Visitor Numbers.Non-Serviced Accommodation</v>
      </c>
      <c r="D141" s="530" t="s">
        <v>232</v>
      </c>
      <c r="E141" s="530" t="s">
        <v>172</v>
      </c>
      <c r="F141" s="530" t="s">
        <v>48</v>
      </c>
      <c r="G141" s="530" t="s">
        <v>48</v>
      </c>
      <c r="H141" s="530">
        <v>12.255393653542908</v>
      </c>
      <c r="I141" s="530">
        <v>13.855354304254965</v>
      </c>
      <c r="J141" s="530">
        <v>115.55101146108139</v>
      </c>
      <c r="K141" s="530">
        <v>106.90309750590939</v>
      </c>
      <c r="L141" s="530">
        <v>124.56642281182721</v>
      </c>
      <c r="M141" s="530">
        <v>141.37253434992979</v>
      </c>
      <c r="N141" s="530">
        <v>169.60977415836436</v>
      </c>
      <c r="O141" s="530">
        <v>179.03807119577044</v>
      </c>
      <c r="P141" s="530">
        <v>133.05929810665486</v>
      </c>
      <c r="Q141" s="530">
        <v>97.59584953112261</v>
      </c>
      <c r="R141" s="530">
        <v>68.882355731595226</v>
      </c>
      <c r="S141" s="530">
        <v>12.612815177579133</v>
      </c>
      <c r="T141" s="530">
        <v>1175.3019779876322</v>
      </c>
      <c r="U141" s="530" t="s">
        <v>61</v>
      </c>
    </row>
    <row r="142" spans="1:21" ht="13.8" x14ac:dyDescent="0.3">
      <c r="A142" s="530" t="str">
        <f t="shared" si="4"/>
        <v>Conwy.2013.Visitor Numbers.SFR</v>
      </c>
      <c r="B142" s="530" t="s">
        <v>219</v>
      </c>
      <c r="C142" s="530" t="str">
        <f t="shared" si="5"/>
        <v>2013.Visitor Numbers.SFR</v>
      </c>
      <c r="D142" s="530" t="s">
        <v>232</v>
      </c>
      <c r="E142" s="530" t="s">
        <v>172</v>
      </c>
      <c r="F142" s="530" t="s">
        <v>18</v>
      </c>
      <c r="G142" s="530" t="s">
        <v>18</v>
      </c>
      <c r="H142" s="530">
        <v>23.628068181818179</v>
      </c>
      <c r="I142" s="530">
        <v>9.4512272727272695</v>
      </c>
      <c r="J142" s="530">
        <v>10.501363636363637</v>
      </c>
      <c r="K142" s="530">
        <v>19.952590909090905</v>
      </c>
      <c r="L142" s="530">
        <v>15.752045454545453</v>
      </c>
      <c r="M142" s="530">
        <v>12.711900681818182</v>
      </c>
      <c r="N142" s="530">
        <v>17.327249999999999</v>
      </c>
      <c r="O142" s="530">
        <v>17.637040227272728</v>
      </c>
      <c r="P142" s="530">
        <v>10.88466340909091</v>
      </c>
      <c r="Q142" s="530">
        <v>11.026431818181816</v>
      </c>
      <c r="R142" s="530">
        <v>9.0574261363636364</v>
      </c>
      <c r="S142" s="530">
        <v>20.477659090909093</v>
      </c>
      <c r="T142" s="530">
        <v>178.40766681818178</v>
      </c>
      <c r="U142" s="530" t="s">
        <v>61</v>
      </c>
    </row>
    <row r="143" spans="1:21" ht="13.8" x14ac:dyDescent="0.3">
      <c r="A143" s="530" t="str">
        <f t="shared" si="4"/>
        <v>Conwy.2013.Visitor Numbers.Day Visitor</v>
      </c>
      <c r="B143" s="530" t="s">
        <v>219</v>
      </c>
      <c r="C143" s="530" t="str">
        <f t="shared" si="5"/>
        <v>2013.Visitor Numbers.Day Visitor</v>
      </c>
      <c r="D143" s="530" t="s">
        <v>232</v>
      </c>
      <c r="E143" s="530" t="s">
        <v>172</v>
      </c>
      <c r="F143" s="530" t="s">
        <v>71</v>
      </c>
      <c r="G143" s="530" t="s">
        <v>71</v>
      </c>
      <c r="H143" s="530">
        <v>52.783513160080531</v>
      </c>
      <c r="I143" s="530">
        <v>243.3378132358639</v>
      </c>
      <c r="J143" s="530">
        <v>252.12360977299488</v>
      </c>
      <c r="K143" s="530">
        <v>631.84217889105116</v>
      </c>
      <c r="L143" s="530">
        <v>891.01355833602702</v>
      </c>
      <c r="M143" s="530">
        <v>628.37012334550695</v>
      </c>
      <c r="N143" s="530">
        <v>1003.1325911125239</v>
      </c>
      <c r="O143" s="530">
        <v>1173.530324677906</v>
      </c>
      <c r="P143" s="530">
        <v>624.49396784536793</v>
      </c>
      <c r="Q143" s="530">
        <v>336.05141049660267</v>
      </c>
      <c r="R143" s="530">
        <v>96.6150927049828</v>
      </c>
      <c r="S143" s="530">
        <v>33.608735601832919</v>
      </c>
      <c r="T143" s="530">
        <v>5966.9029191807404</v>
      </c>
      <c r="U143" s="530" t="s">
        <v>61</v>
      </c>
    </row>
    <row r="144" spans="1:21" ht="13.8" x14ac:dyDescent="0.3">
      <c r="A144" s="530" t="str">
        <f t="shared" si="4"/>
        <v>Conwy.2013.Visitor Numbers.Total</v>
      </c>
      <c r="B144" s="530" t="s">
        <v>219</v>
      </c>
      <c r="C144" s="530" t="str">
        <f t="shared" si="5"/>
        <v>2013.Visitor Numbers.Total</v>
      </c>
      <c r="D144" s="530" t="s">
        <v>232</v>
      </c>
      <c r="E144" s="530" t="s">
        <v>172</v>
      </c>
      <c r="F144" s="530" t="s">
        <v>54</v>
      </c>
      <c r="G144" s="530" t="s">
        <v>54</v>
      </c>
      <c r="H144" s="530">
        <v>136.81514194551627</v>
      </c>
      <c r="I144" s="530">
        <v>373.29076213259418</v>
      </c>
      <c r="J144" s="530">
        <v>442.08885638242498</v>
      </c>
      <c r="K144" s="530">
        <v>851.13079307139401</v>
      </c>
      <c r="L144" s="530">
        <v>1156.68796326802</v>
      </c>
      <c r="M144" s="530">
        <v>894.27285695937348</v>
      </c>
      <c r="N144" s="530">
        <v>1310.742495094268</v>
      </c>
      <c r="O144" s="530">
        <v>1507.220519198039</v>
      </c>
      <c r="P144" s="530">
        <v>857.37430427863387</v>
      </c>
      <c r="Q144" s="530">
        <v>538.40027698342101</v>
      </c>
      <c r="R144" s="530">
        <v>266.99825143885653</v>
      </c>
      <c r="S144" s="530">
        <v>141.20374794245362</v>
      </c>
      <c r="T144" s="530">
        <v>8476.2259686949947</v>
      </c>
      <c r="U144" s="530" t="s">
        <v>61</v>
      </c>
    </row>
    <row r="145" spans="1:21" ht="13.8" x14ac:dyDescent="0.3">
      <c r="A145" s="530" t="str">
        <f t="shared" si="4"/>
        <v>Conwy.2013.Vehicle Days.Serviced Accommodation</v>
      </c>
      <c r="B145" s="530" t="s">
        <v>219</v>
      </c>
      <c r="C145" s="530" t="str">
        <f t="shared" si="5"/>
        <v>2013.Vehicle Days.Serviced Accommodation</v>
      </c>
      <c r="D145" s="530" t="s">
        <v>232</v>
      </c>
      <c r="E145" s="530" t="s">
        <v>21</v>
      </c>
      <c r="F145" s="530" t="s">
        <v>43</v>
      </c>
      <c r="G145" s="530" t="s">
        <v>43</v>
      </c>
      <c r="H145" s="530">
        <v>18.708950331810016</v>
      </c>
      <c r="I145" s="530">
        <v>53.907350435412326</v>
      </c>
      <c r="J145" s="530">
        <v>46.935967652729737</v>
      </c>
      <c r="K145" s="530">
        <v>43.669024590896399</v>
      </c>
      <c r="L145" s="530">
        <v>65.393666558250885</v>
      </c>
      <c r="M145" s="530">
        <v>55.063336066575758</v>
      </c>
      <c r="N145" s="530">
        <v>54.40219907040683</v>
      </c>
      <c r="O145" s="530">
        <v>62.715828950032261</v>
      </c>
      <c r="P145" s="530">
        <v>45.471790951877942</v>
      </c>
      <c r="Q145" s="530">
        <v>48.837867195358115</v>
      </c>
      <c r="R145" s="530">
        <v>48.614044943197456</v>
      </c>
      <c r="S145" s="530">
        <v>32.23221339776358</v>
      </c>
      <c r="T145" s="530">
        <v>575.95224014431119</v>
      </c>
      <c r="U145" s="530" t="s">
        <v>61</v>
      </c>
    </row>
    <row r="146" spans="1:21" ht="13.8" x14ac:dyDescent="0.3">
      <c r="A146" s="530" t="str">
        <f t="shared" si="4"/>
        <v>Conwy.2013.Vehicle Days.Non-Serviced Accommodation</v>
      </c>
      <c r="B146" s="530" t="s">
        <v>219</v>
      </c>
      <c r="C146" s="530" t="str">
        <f t="shared" si="5"/>
        <v>2013.Vehicle Days.Non-Serviced Accommodation</v>
      </c>
      <c r="D146" s="530" t="s">
        <v>232</v>
      </c>
      <c r="E146" s="530" t="s">
        <v>21</v>
      </c>
      <c r="F146" s="530" t="s">
        <v>48</v>
      </c>
      <c r="G146" s="530" t="s">
        <v>48</v>
      </c>
      <c r="H146" s="530">
        <v>11.562096948450403</v>
      </c>
      <c r="I146" s="530">
        <v>18.893559314997258</v>
      </c>
      <c r="J146" s="530">
        <v>143.05915080831457</v>
      </c>
      <c r="K146" s="530">
        <v>173.16357755535734</v>
      </c>
      <c r="L146" s="530">
        <v>221.84776864312627</v>
      </c>
      <c r="M146" s="530">
        <v>255.04851424058771</v>
      </c>
      <c r="N146" s="530">
        <v>306.48135543829164</v>
      </c>
      <c r="O146" s="530">
        <v>344.3211825140018</v>
      </c>
      <c r="P146" s="530">
        <v>235.93880037903327</v>
      </c>
      <c r="Q146" s="530">
        <v>173.5299522253799</v>
      </c>
      <c r="R146" s="530">
        <v>79.141555855936858</v>
      </c>
      <c r="S146" s="530">
        <v>16.54949246827907</v>
      </c>
      <c r="T146" s="530">
        <v>1979.537006391756</v>
      </c>
      <c r="U146" s="530" t="s">
        <v>61</v>
      </c>
    </row>
    <row r="147" spans="1:21" ht="13.8" x14ac:dyDescent="0.3">
      <c r="A147" s="530" t="str">
        <f t="shared" si="4"/>
        <v>Conwy.2013.Vehicle Days.SFR</v>
      </c>
      <c r="B147" s="530" t="s">
        <v>219</v>
      </c>
      <c r="C147" s="530" t="str">
        <f t="shared" si="5"/>
        <v>2013.Vehicle Days.SFR</v>
      </c>
      <c r="D147" s="530" t="s">
        <v>232</v>
      </c>
      <c r="E147" s="530" t="s">
        <v>21</v>
      </c>
      <c r="F147" s="530" t="s">
        <v>18</v>
      </c>
      <c r="G147" s="530" t="s">
        <v>18</v>
      </c>
      <c r="H147" s="530">
        <v>18.508653409090908</v>
      </c>
      <c r="I147" s="530">
        <v>6.2189075454545435</v>
      </c>
      <c r="J147" s="530">
        <v>7.0744186363636352</v>
      </c>
      <c r="K147" s="530">
        <v>16.879891909090908</v>
      </c>
      <c r="L147" s="530">
        <v>10.858409999999999</v>
      </c>
      <c r="M147" s="530">
        <v>8.3644306486363629</v>
      </c>
      <c r="N147" s="530">
        <v>13.573012499999999</v>
      </c>
      <c r="O147" s="530">
        <v>14.36830877181818</v>
      </c>
      <c r="P147" s="530">
        <v>7.4008454739545462</v>
      </c>
      <c r="Q147" s="530">
        <v>7.3935900818181803</v>
      </c>
      <c r="R147" s="530">
        <v>5.7611268511363631</v>
      </c>
      <c r="S147" s="530">
        <v>16.682466272727272</v>
      </c>
      <c r="T147" s="530">
        <v>133.0840621000909</v>
      </c>
      <c r="U147" s="530" t="s">
        <v>61</v>
      </c>
    </row>
    <row r="148" spans="1:21" ht="13.8" x14ac:dyDescent="0.3">
      <c r="A148" s="530" t="str">
        <f t="shared" si="4"/>
        <v>Conwy.2013.Vehicle Days.Day Visitor</v>
      </c>
      <c r="B148" s="530" t="s">
        <v>219</v>
      </c>
      <c r="C148" s="530" t="str">
        <f t="shared" si="5"/>
        <v>2013.Vehicle Days.Day Visitor</v>
      </c>
      <c r="D148" s="530" t="s">
        <v>232</v>
      </c>
      <c r="E148" s="530" t="s">
        <v>21</v>
      </c>
      <c r="F148" s="530" t="s">
        <v>71</v>
      </c>
      <c r="G148" s="530" t="s">
        <v>71</v>
      </c>
      <c r="H148" s="530">
        <v>11.612372895217717</v>
      </c>
      <c r="I148" s="530">
        <v>61.182078756445776</v>
      </c>
      <c r="J148" s="530">
        <v>63.391079028638714</v>
      </c>
      <c r="K148" s="530">
        <v>139.00527935603125</v>
      </c>
      <c r="L148" s="530">
        <v>196.02298283392594</v>
      </c>
      <c r="M148" s="530">
        <v>157.99020244115604</v>
      </c>
      <c r="N148" s="530">
        <v>220.68917004475526</v>
      </c>
      <c r="O148" s="530">
        <v>258.17667142913933</v>
      </c>
      <c r="P148" s="530">
        <v>137.38867292598096</v>
      </c>
      <c r="Q148" s="530">
        <v>84.492926067717249</v>
      </c>
      <c r="R148" s="530">
        <v>24.291794737252818</v>
      </c>
      <c r="S148" s="530">
        <v>7.3939218324032421</v>
      </c>
      <c r="T148" s="530">
        <v>1361.6371523486641</v>
      </c>
      <c r="U148" s="530" t="s">
        <v>61</v>
      </c>
    </row>
    <row r="149" spans="1:21" ht="13.8" x14ac:dyDescent="0.3">
      <c r="A149" s="530" t="str">
        <f t="shared" si="4"/>
        <v>Conwy.2013.Vehicle Days.Total</v>
      </c>
      <c r="B149" s="530" t="s">
        <v>219</v>
      </c>
      <c r="C149" s="530" t="str">
        <f t="shared" si="5"/>
        <v>2013.Vehicle Days.Total</v>
      </c>
      <c r="D149" s="530" t="s">
        <v>232</v>
      </c>
      <c r="E149" s="530" t="s">
        <v>21</v>
      </c>
      <c r="F149" s="530" t="s">
        <v>54</v>
      </c>
      <c r="G149" s="530" t="s">
        <v>54</v>
      </c>
      <c r="H149" s="530">
        <v>60.392073584569047</v>
      </c>
      <c r="I149" s="530">
        <v>140.20189605230991</v>
      </c>
      <c r="J149" s="530">
        <v>260.46061612604666</v>
      </c>
      <c r="K149" s="530">
        <v>372.7177734113759</v>
      </c>
      <c r="L149" s="530">
        <v>494.12282803530309</v>
      </c>
      <c r="M149" s="530">
        <v>476.46648339695588</v>
      </c>
      <c r="N149" s="530">
        <v>595.14573705345379</v>
      </c>
      <c r="O149" s="530">
        <v>679.58199166499162</v>
      </c>
      <c r="P149" s="530">
        <v>426.20010973084663</v>
      </c>
      <c r="Q149" s="530">
        <v>314.25433557027344</v>
      </c>
      <c r="R149" s="530">
        <v>157.80852238752348</v>
      </c>
      <c r="S149" s="530">
        <v>72.858093971173162</v>
      </c>
      <c r="T149" s="530">
        <v>4050.2104609848225</v>
      </c>
      <c r="U149" s="530" t="s">
        <v>61</v>
      </c>
    </row>
    <row r="150" spans="1:21" ht="13.8" x14ac:dyDescent="0.3">
      <c r="A150" s="530" t="str">
        <f t="shared" si="4"/>
        <v>Conwy.2013.Vehicle Numbers.Serviced Accommodation</v>
      </c>
      <c r="B150" s="530" t="s">
        <v>219</v>
      </c>
      <c r="C150" s="530" t="str">
        <f t="shared" si="5"/>
        <v>2013.Vehicle Numbers.Serviced Accommodation</v>
      </c>
      <c r="D150" s="530" t="s">
        <v>232</v>
      </c>
      <c r="E150" s="530" t="s">
        <v>22</v>
      </c>
      <c r="F150" s="530" t="s">
        <v>43</v>
      </c>
      <c r="G150" s="530" t="s">
        <v>43</v>
      </c>
      <c r="H150" s="530">
        <v>12.264724612431323</v>
      </c>
      <c r="I150" s="530">
        <v>36.249388344869068</v>
      </c>
      <c r="J150" s="530">
        <v>22.715854752576512</v>
      </c>
      <c r="K150" s="530">
        <v>23.979667704183253</v>
      </c>
      <c r="L150" s="530">
        <v>34.689791836813001</v>
      </c>
      <c r="M150" s="530">
        <v>30.943743663985646</v>
      </c>
      <c r="N150" s="530">
        <v>31.249488329132149</v>
      </c>
      <c r="O150" s="530">
        <v>35.51416882956083</v>
      </c>
      <c r="P150" s="530">
        <v>23.03848587122221</v>
      </c>
      <c r="Q150" s="530">
        <v>28.388635386427545</v>
      </c>
      <c r="R150" s="530">
        <v>27.926399842056306</v>
      </c>
      <c r="S150" s="530">
        <v>19.285021387365571</v>
      </c>
      <c r="T150" s="530">
        <v>326.24537056062343</v>
      </c>
      <c r="U150" s="530" t="s">
        <v>61</v>
      </c>
    </row>
    <row r="151" spans="1:21" ht="13.8" x14ac:dyDescent="0.3">
      <c r="A151" s="530" t="str">
        <f t="shared" si="4"/>
        <v>Conwy.2013.Vehicle Numbers.Non-Serviced Accommodation</v>
      </c>
      <c r="B151" s="530" t="s">
        <v>219</v>
      </c>
      <c r="C151" s="530" t="str">
        <f t="shared" si="5"/>
        <v>2013.Vehicle Numbers.Non-Serviced Accommodation</v>
      </c>
      <c r="D151" s="530" t="s">
        <v>232</v>
      </c>
      <c r="E151" s="530" t="s">
        <v>22</v>
      </c>
      <c r="F151" s="530" t="s">
        <v>48</v>
      </c>
      <c r="G151" s="530" t="s">
        <v>48</v>
      </c>
      <c r="H151" s="530">
        <v>3.4006167495442363</v>
      </c>
      <c r="I151" s="530">
        <v>4.7233898287493146</v>
      </c>
      <c r="J151" s="530">
        <v>29.803989751732203</v>
      </c>
      <c r="K151" s="530">
        <v>27.056808993024585</v>
      </c>
      <c r="L151" s="530">
        <v>32.151850527989311</v>
      </c>
      <c r="M151" s="530">
        <v>36.435502034369669</v>
      </c>
      <c r="N151" s="530">
        <v>43.166388089900231</v>
      </c>
      <c r="O151" s="530">
        <v>45.305418751842353</v>
      </c>
      <c r="P151" s="530">
        <v>34.194029040439602</v>
      </c>
      <c r="Q151" s="530">
        <v>24.789993175054271</v>
      </c>
      <c r="R151" s="530">
        <v>17.587012412430411</v>
      </c>
      <c r="S151" s="530">
        <v>2.9552665121926909</v>
      </c>
      <c r="T151" s="530">
        <v>301.57026586726892</v>
      </c>
      <c r="U151" s="530" t="s">
        <v>61</v>
      </c>
    </row>
    <row r="152" spans="1:21" ht="13.8" x14ac:dyDescent="0.3">
      <c r="A152" s="530" t="str">
        <f t="shared" si="4"/>
        <v>Conwy.2013.Vehicle Numbers.SFR</v>
      </c>
      <c r="B152" s="530" t="s">
        <v>219</v>
      </c>
      <c r="C152" s="530" t="str">
        <f t="shared" si="5"/>
        <v>2013.Vehicle Numbers.SFR</v>
      </c>
      <c r="D152" s="530" t="s">
        <v>232</v>
      </c>
      <c r="E152" s="530" t="s">
        <v>22</v>
      </c>
      <c r="F152" s="530" t="s">
        <v>18</v>
      </c>
      <c r="G152" s="530" t="s">
        <v>18</v>
      </c>
      <c r="H152" s="530">
        <v>7.403461363636362</v>
      </c>
      <c r="I152" s="530">
        <v>2.9613845454545444</v>
      </c>
      <c r="J152" s="530">
        <v>3.2904272727272725</v>
      </c>
      <c r="K152" s="530">
        <v>6.2518118181818165</v>
      </c>
      <c r="L152" s="530">
        <v>4.9356409090909086</v>
      </c>
      <c r="M152" s="530">
        <v>3.9830622136363631</v>
      </c>
      <c r="N152" s="530">
        <v>5.4292049999999996</v>
      </c>
      <c r="O152" s="530">
        <v>5.5262726045454542</v>
      </c>
      <c r="P152" s="530">
        <v>3.4105278681818185</v>
      </c>
      <c r="Q152" s="530">
        <v>3.4549486363636355</v>
      </c>
      <c r="R152" s="530">
        <v>2.8379935227272726</v>
      </c>
      <c r="S152" s="530">
        <v>6.4163331818181817</v>
      </c>
      <c r="T152" s="530">
        <v>55.901068936363622</v>
      </c>
      <c r="U152" s="530" t="s">
        <v>61</v>
      </c>
    </row>
    <row r="153" spans="1:21" ht="13.8" x14ac:dyDescent="0.3">
      <c r="A153" s="530" t="str">
        <f t="shared" si="4"/>
        <v>Conwy.2013.Vehicle Numbers.Day Visitor</v>
      </c>
      <c r="B153" s="530" t="s">
        <v>219</v>
      </c>
      <c r="C153" s="530" t="str">
        <f t="shared" si="5"/>
        <v>2013.Vehicle Numbers.Day Visitor</v>
      </c>
      <c r="D153" s="530" t="s">
        <v>232</v>
      </c>
      <c r="E153" s="530" t="s">
        <v>22</v>
      </c>
      <c r="F153" s="530" t="s">
        <v>71</v>
      </c>
      <c r="G153" s="530" t="s">
        <v>71</v>
      </c>
      <c r="H153" s="530">
        <v>11.612372895217717</v>
      </c>
      <c r="I153" s="530">
        <v>61.182078756445776</v>
      </c>
      <c r="J153" s="530">
        <v>63.391079028638714</v>
      </c>
      <c r="K153" s="530">
        <v>139.00527935603125</v>
      </c>
      <c r="L153" s="530">
        <v>196.02298283392594</v>
      </c>
      <c r="M153" s="530">
        <v>157.99020244115604</v>
      </c>
      <c r="N153" s="530">
        <v>220.68917004475526</v>
      </c>
      <c r="O153" s="530">
        <v>258.17667142913933</v>
      </c>
      <c r="P153" s="530">
        <v>137.38867292598096</v>
      </c>
      <c r="Q153" s="530">
        <v>84.492926067717249</v>
      </c>
      <c r="R153" s="530">
        <v>24.291794737252818</v>
      </c>
      <c r="S153" s="530">
        <v>7.3939218324032421</v>
      </c>
      <c r="T153" s="530">
        <v>1361.6371523486641</v>
      </c>
      <c r="U153" s="530" t="s">
        <v>61</v>
      </c>
    </row>
    <row r="154" spans="1:21" ht="13.8" x14ac:dyDescent="0.3">
      <c r="A154" s="530" t="str">
        <f t="shared" si="4"/>
        <v>Conwy.2013.Vehicle Numbers.Total</v>
      </c>
      <c r="B154" s="530" t="s">
        <v>219</v>
      </c>
      <c r="C154" s="530" t="str">
        <f t="shared" si="5"/>
        <v>2013.Vehicle Numbers.Total</v>
      </c>
      <c r="D154" s="530" t="s">
        <v>232</v>
      </c>
      <c r="E154" s="530" t="s">
        <v>22</v>
      </c>
      <c r="F154" s="530" t="s">
        <v>54</v>
      </c>
      <c r="G154" s="530" t="s">
        <v>54</v>
      </c>
      <c r="H154" s="530">
        <v>34.681175620829634</v>
      </c>
      <c r="I154" s="530">
        <v>105.11624147551871</v>
      </c>
      <c r="J154" s="530">
        <v>119.20135080567471</v>
      </c>
      <c r="K154" s="530">
        <v>196.29356787142092</v>
      </c>
      <c r="L154" s="530">
        <v>267.80026610781914</v>
      </c>
      <c r="M154" s="530">
        <v>229.35251035314772</v>
      </c>
      <c r="N154" s="530">
        <v>300.53425146378765</v>
      </c>
      <c r="O154" s="530">
        <v>344.52253161508798</v>
      </c>
      <c r="P154" s="530">
        <v>198.03171570582458</v>
      </c>
      <c r="Q154" s="530">
        <v>141.12650326556269</v>
      </c>
      <c r="R154" s="530">
        <v>72.643200514466812</v>
      </c>
      <c r="S154" s="530">
        <v>36.050542913779687</v>
      </c>
      <c r="T154" s="530">
        <v>2045.3538577129202</v>
      </c>
      <c r="U154" s="530" t="s">
        <v>61</v>
      </c>
    </row>
    <row r="155" spans="1:21" ht="13.8" x14ac:dyDescent="0.3">
      <c r="A155" s="530" t="str">
        <f t="shared" si="4"/>
        <v>Conwy.2013.Accommodation.Serviced Accommodation</v>
      </c>
      <c r="B155" s="530" t="s">
        <v>219</v>
      </c>
      <c r="C155" s="530" t="str">
        <f t="shared" si="5"/>
        <v>2013.Accommodation.Serviced Accommodation</v>
      </c>
      <c r="D155" s="530" t="s">
        <v>232</v>
      </c>
      <c r="E155" s="530" t="s">
        <v>23</v>
      </c>
      <c r="F155" s="530" t="s">
        <v>43</v>
      </c>
      <c r="G155" s="530" t="s">
        <v>43</v>
      </c>
      <c r="H155" s="530">
        <v>9187</v>
      </c>
      <c r="I155" s="530">
        <v>10064</v>
      </c>
      <c r="J155" s="530">
        <v>11196</v>
      </c>
      <c r="K155" s="530">
        <v>11680</v>
      </c>
      <c r="L155" s="530">
        <v>11698</v>
      </c>
      <c r="M155" s="530">
        <v>11710</v>
      </c>
      <c r="N155" s="530">
        <v>11710</v>
      </c>
      <c r="O155" s="530">
        <v>11710</v>
      </c>
      <c r="P155" s="530">
        <v>11704</v>
      </c>
      <c r="Q155" s="530">
        <v>11520</v>
      </c>
      <c r="R155" s="530">
        <v>11010</v>
      </c>
      <c r="S155" s="530">
        <v>9990</v>
      </c>
      <c r="T155" s="530">
        <v>11710</v>
      </c>
      <c r="U155" s="530" t="s">
        <v>58</v>
      </c>
    </row>
    <row r="156" spans="1:21" ht="13.8" x14ac:dyDescent="0.3">
      <c r="A156" s="530" t="str">
        <f t="shared" si="4"/>
        <v>Conwy.2013.Accommodation.Non-Serviced Accommodation</v>
      </c>
      <c r="B156" s="530" t="s">
        <v>219</v>
      </c>
      <c r="C156" s="530" t="str">
        <f t="shared" si="5"/>
        <v>2013.Accommodation.Non-Serviced Accommodation</v>
      </c>
      <c r="D156" s="530" t="s">
        <v>232</v>
      </c>
      <c r="E156" s="530" t="s">
        <v>23</v>
      </c>
      <c r="F156" s="530" t="s">
        <v>48</v>
      </c>
      <c r="G156" s="530" t="s">
        <v>48</v>
      </c>
      <c r="H156" s="530">
        <v>5441</v>
      </c>
      <c r="I156" s="530">
        <v>5861</v>
      </c>
      <c r="J156" s="530">
        <v>41452</v>
      </c>
      <c r="K156" s="530">
        <v>48868</v>
      </c>
      <c r="L156" s="530">
        <v>49375</v>
      </c>
      <c r="M156" s="530">
        <v>49375</v>
      </c>
      <c r="N156" s="530">
        <v>49380</v>
      </c>
      <c r="O156" s="530">
        <v>49380</v>
      </c>
      <c r="P156" s="530">
        <v>49375</v>
      </c>
      <c r="Q156" s="530">
        <v>49101</v>
      </c>
      <c r="R156" s="530">
        <v>30309</v>
      </c>
      <c r="S156" s="530">
        <v>8039</v>
      </c>
      <c r="T156" s="530">
        <v>49380</v>
      </c>
      <c r="U156" s="530" t="s">
        <v>58</v>
      </c>
    </row>
    <row r="157" spans="1:21" ht="13.8" x14ac:dyDescent="0.3">
      <c r="A157" s="530" t="str">
        <f t="shared" si="4"/>
        <v>Conwy.2013.Accommodation.Total</v>
      </c>
      <c r="B157" s="530" t="s">
        <v>219</v>
      </c>
      <c r="C157" s="530" t="str">
        <f t="shared" si="5"/>
        <v>2013.Accommodation.Total</v>
      </c>
      <c r="D157" s="530" t="s">
        <v>232</v>
      </c>
      <c r="E157" s="530" t="s">
        <v>23</v>
      </c>
      <c r="F157" s="530" t="s">
        <v>54</v>
      </c>
      <c r="G157" s="530" t="s">
        <v>54</v>
      </c>
      <c r="H157" s="530">
        <v>14628</v>
      </c>
      <c r="I157" s="530">
        <v>15925</v>
      </c>
      <c r="J157" s="530">
        <v>52648</v>
      </c>
      <c r="K157" s="530">
        <v>60548</v>
      </c>
      <c r="L157" s="530">
        <v>61073</v>
      </c>
      <c r="M157" s="530">
        <v>61085</v>
      </c>
      <c r="N157" s="530">
        <v>61090</v>
      </c>
      <c r="O157" s="530">
        <v>61090</v>
      </c>
      <c r="P157" s="530">
        <v>61079</v>
      </c>
      <c r="Q157" s="530">
        <v>60621</v>
      </c>
      <c r="R157" s="530">
        <v>41319</v>
      </c>
      <c r="S157" s="530">
        <v>18029</v>
      </c>
      <c r="T157" s="530">
        <v>61090</v>
      </c>
      <c r="U157" s="530" t="s">
        <v>58</v>
      </c>
    </row>
    <row r="158" spans="1:21" ht="13.8" x14ac:dyDescent="0.3">
      <c r="A158" s="530" t="str">
        <f t="shared" si="4"/>
        <v>Conwy.2013.Economic Impact.Total</v>
      </c>
      <c r="B158" s="530" t="s">
        <v>219</v>
      </c>
      <c r="C158" s="530" t="str">
        <f t="shared" si="5"/>
        <v>2013.Economic Impact.Total</v>
      </c>
      <c r="D158" s="530" t="s">
        <v>232</v>
      </c>
      <c r="E158" s="530" t="s">
        <v>17</v>
      </c>
      <c r="F158" s="530" t="s">
        <v>54</v>
      </c>
      <c r="G158" s="530" t="s">
        <v>54</v>
      </c>
      <c r="H158" s="530">
        <v>12287.26106353288</v>
      </c>
      <c r="I158" s="530">
        <v>26939.509118286158</v>
      </c>
      <c r="J158" s="530">
        <v>42884.570620586499</v>
      </c>
      <c r="K158" s="530">
        <v>66833.248770920647</v>
      </c>
      <c r="L158" s="530">
        <v>89370.473386392187</v>
      </c>
      <c r="M158" s="530">
        <v>80344.775587049095</v>
      </c>
      <c r="N158" s="530">
        <v>110667.93020572192</v>
      </c>
      <c r="O158" s="530">
        <v>129741.79726808202</v>
      </c>
      <c r="P158" s="530">
        <v>82572.824441489807</v>
      </c>
      <c r="Q158" s="530">
        <v>52810.086933529266</v>
      </c>
      <c r="R158" s="530">
        <v>29187.09429150954</v>
      </c>
      <c r="S158" s="530">
        <v>16600.873633856485</v>
      </c>
      <c r="T158" s="530">
        <v>740240.44532095653</v>
      </c>
      <c r="U158" s="530" t="s">
        <v>57</v>
      </c>
    </row>
    <row r="159" spans="1:21" ht="13.8" x14ac:dyDescent="0.3">
      <c r="A159" s="530" t="str">
        <f t="shared" si="4"/>
        <v>Conwy.2014.Economic Impact.Indirect Expenditure</v>
      </c>
      <c r="B159" s="530" t="s">
        <v>219</v>
      </c>
      <c r="C159" s="530" t="str">
        <f t="shared" si="5"/>
        <v>2014.Economic Impact.Indirect Expenditure</v>
      </c>
      <c r="D159" s="530" t="s">
        <v>233</v>
      </c>
      <c r="E159" s="530" t="s">
        <v>17</v>
      </c>
      <c r="F159" s="530" t="s">
        <v>45</v>
      </c>
      <c r="G159" s="530" t="s">
        <v>45</v>
      </c>
      <c r="H159" s="530">
        <v>3373.0641870844156</v>
      </c>
      <c r="I159" s="530">
        <v>6793.2418326223451</v>
      </c>
      <c r="J159" s="530">
        <v>11199.121312909636</v>
      </c>
      <c r="K159" s="530">
        <v>18819.291324911086</v>
      </c>
      <c r="L159" s="530">
        <v>23037.220508414241</v>
      </c>
      <c r="M159" s="530">
        <v>19532.924533246754</v>
      </c>
      <c r="N159" s="530">
        <v>28068.841098681831</v>
      </c>
      <c r="O159" s="530">
        <v>34132.220425787295</v>
      </c>
      <c r="P159" s="530">
        <v>21741.652804931429</v>
      </c>
      <c r="Q159" s="530">
        <v>13532.270678155894</v>
      </c>
      <c r="R159" s="530">
        <v>7110.9196646037872</v>
      </c>
      <c r="S159" s="530">
        <v>3833.0529445505058</v>
      </c>
      <c r="T159" s="530">
        <v>191173.8213158992</v>
      </c>
      <c r="U159" s="530" t="s">
        <v>57</v>
      </c>
    </row>
    <row r="160" spans="1:21" ht="13.8" x14ac:dyDescent="0.3">
      <c r="A160" s="530" t="str">
        <f t="shared" si="4"/>
        <v>Conwy.2014.Economic Impact.Direct Revenue</v>
      </c>
      <c r="B160" s="530" t="s">
        <v>219</v>
      </c>
      <c r="C160" s="530" t="str">
        <f t="shared" si="5"/>
        <v>2014.Economic Impact.Direct Revenue</v>
      </c>
      <c r="D160" s="530" t="s">
        <v>233</v>
      </c>
      <c r="E160" s="530" t="s">
        <v>17</v>
      </c>
      <c r="F160" s="530" t="s">
        <v>46</v>
      </c>
      <c r="G160" s="530" t="s">
        <v>46</v>
      </c>
      <c r="H160" s="530">
        <v>9083.5399699373811</v>
      </c>
      <c r="I160" s="530">
        <v>17757.013147824055</v>
      </c>
      <c r="J160" s="530">
        <v>28594.715722236531</v>
      </c>
      <c r="K160" s="530">
        <v>47492.551492021092</v>
      </c>
      <c r="L160" s="530">
        <v>58430.091136891235</v>
      </c>
      <c r="M160" s="530">
        <v>49692.141276133341</v>
      </c>
      <c r="N160" s="530">
        <v>70632.082657124658</v>
      </c>
      <c r="O160" s="530">
        <v>85750.753385613134</v>
      </c>
      <c r="P160" s="530">
        <v>55074.018144535949</v>
      </c>
      <c r="Q160" s="530">
        <v>34689.643639538954</v>
      </c>
      <c r="R160" s="530">
        <v>18864.661520548765</v>
      </c>
      <c r="S160" s="530">
        <v>10084.336120298289</v>
      </c>
      <c r="T160" s="530">
        <v>486145.54821270338</v>
      </c>
      <c r="U160" s="530" t="s">
        <v>57</v>
      </c>
    </row>
    <row r="161" spans="1:21" ht="13.8" x14ac:dyDescent="0.3">
      <c r="A161" s="530" t="str">
        <f t="shared" si="4"/>
        <v>Conwy.2014.Economic Impact.VAT</v>
      </c>
      <c r="B161" s="530" t="s">
        <v>219</v>
      </c>
      <c r="C161" s="530" t="str">
        <f t="shared" si="5"/>
        <v>2014.Economic Impact.VAT</v>
      </c>
      <c r="D161" s="530" t="s">
        <v>233</v>
      </c>
      <c r="E161" s="530" t="s">
        <v>17</v>
      </c>
      <c r="F161" s="530" t="s">
        <v>47</v>
      </c>
      <c r="G161" s="530" t="s">
        <v>47</v>
      </c>
      <c r="H161" s="530">
        <v>1816.7079939874766</v>
      </c>
      <c r="I161" s="530">
        <v>3551.4026295648109</v>
      </c>
      <c r="J161" s="530">
        <v>5718.9431444473066</v>
      </c>
      <c r="K161" s="530">
        <v>9498.5102984042187</v>
      </c>
      <c r="L161" s="530">
        <v>11686.018227378247</v>
      </c>
      <c r="M161" s="530">
        <v>9938.4282552266686</v>
      </c>
      <c r="N161" s="530">
        <v>14126.416531424929</v>
      </c>
      <c r="O161" s="530">
        <v>17150.15067712263</v>
      </c>
      <c r="P161" s="530">
        <v>11014.80362890719</v>
      </c>
      <c r="Q161" s="530">
        <v>6937.9287279077907</v>
      </c>
      <c r="R161" s="530">
        <v>3772.9323041097527</v>
      </c>
      <c r="S161" s="530">
        <v>2016.8672240596577</v>
      </c>
      <c r="T161" s="530">
        <v>97229.109642540687</v>
      </c>
      <c r="U161" s="530" t="s">
        <v>57</v>
      </c>
    </row>
    <row r="162" spans="1:21" ht="13.8" x14ac:dyDescent="0.3">
      <c r="A162" s="530" t="str">
        <f t="shared" si="4"/>
        <v>Conwy.2014.Economic Impact.Serviced Accommodation</v>
      </c>
      <c r="B162" s="530" t="s">
        <v>219</v>
      </c>
      <c r="C162" s="530" t="str">
        <f t="shared" si="5"/>
        <v>2014.Economic Impact.Serviced Accommodation</v>
      </c>
      <c r="D162" s="530" t="s">
        <v>233</v>
      </c>
      <c r="E162" s="530" t="s">
        <v>17</v>
      </c>
      <c r="F162" s="530" t="s">
        <v>43</v>
      </c>
      <c r="G162" s="530" t="s">
        <v>43</v>
      </c>
      <c r="H162" s="530">
        <v>7634.3275661540547</v>
      </c>
      <c r="I162" s="530">
        <v>12300.541454897058</v>
      </c>
      <c r="J162" s="530">
        <v>11471.179850959596</v>
      </c>
      <c r="K162" s="530">
        <v>15581.535856314273</v>
      </c>
      <c r="L162" s="530">
        <v>20292.95272145536</v>
      </c>
      <c r="M162" s="530">
        <v>17834.849360583568</v>
      </c>
      <c r="N162" s="530">
        <v>21785.508676149777</v>
      </c>
      <c r="O162" s="530">
        <v>25601.749056060929</v>
      </c>
      <c r="P162" s="530">
        <v>19635.769975371404</v>
      </c>
      <c r="Q162" s="530">
        <v>15264.394360555534</v>
      </c>
      <c r="R162" s="530">
        <v>12465.76139288284</v>
      </c>
      <c r="S162" s="530">
        <v>8093.0231163904446</v>
      </c>
      <c r="T162" s="530">
        <v>187961.59338777486</v>
      </c>
      <c r="U162" s="530" t="s">
        <v>57</v>
      </c>
    </row>
    <row r="163" spans="1:21" ht="13.8" x14ac:dyDescent="0.3">
      <c r="A163" s="530" t="str">
        <f t="shared" si="4"/>
        <v>Conwy.2014.Economic Impact.Non-Serviced Accommodation</v>
      </c>
      <c r="B163" s="530" t="s">
        <v>219</v>
      </c>
      <c r="C163" s="530" t="str">
        <f t="shared" si="5"/>
        <v>2014.Economic Impact.Non-Serviced Accommodation</v>
      </c>
      <c r="D163" s="530" t="s">
        <v>233</v>
      </c>
      <c r="E163" s="530" t="s">
        <v>17</v>
      </c>
      <c r="F163" s="530" t="s">
        <v>48</v>
      </c>
      <c r="G163" s="530" t="s">
        <v>48</v>
      </c>
      <c r="H163" s="530">
        <v>2327.0467118151819</v>
      </c>
      <c r="I163" s="530">
        <v>4041.9303394154795</v>
      </c>
      <c r="J163" s="530">
        <v>21484.029946011316</v>
      </c>
      <c r="K163" s="530">
        <v>25793.75276603175</v>
      </c>
      <c r="L163" s="530">
        <v>34424.088743214103</v>
      </c>
      <c r="M163" s="530">
        <v>33099.333900529135</v>
      </c>
      <c r="N163" s="530">
        <v>46287.393559025993</v>
      </c>
      <c r="O163" s="530">
        <v>54132.617639831398</v>
      </c>
      <c r="P163" s="530">
        <v>37548.776683747186</v>
      </c>
      <c r="Q163" s="530">
        <v>23436.5848786036</v>
      </c>
      <c r="R163" s="530">
        <v>12621.179915493962</v>
      </c>
      <c r="S163" s="530">
        <v>4755.5364822170259</v>
      </c>
      <c r="T163" s="530">
        <v>299952.2715659361</v>
      </c>
      <c r="U163" s="530" t="s">
        <v>57</v>
      </c>
    </row>
    <row r="164" spans="1:21" ht="13.8" x14ac:dyDescent="0.3">
      <c r="A164" s="530" t="str">
        <f t="shared" si="4"/>
        <v>Conwy.2014.Economic Impact.SFR</v>
      </c>
      <c r="B164" s="530" t="s">
        <v>219</v>
      </c>
      <c r="C164" s="530" t="str">
        <f t="shared" si="5"/>
        <v>2014.Economic Impact.SFR</v>
      </c>
      <c r="D164" s="530" t="s">
        <v>233</v>
      </c>
      <c r="E164" s="530" t="s">
        <v>17</v>
      </c>
      <c r="F164" s="530" t="s">
        <v>18</v>
      </c>
      <c r="G164" s="530" t="s">
        <v>18</v>
      </c>
      <c r="H164" s="530">
        <v>1852.3591028332667</v>
      </c>
      <c r="I164" s="530">
        <v>622.39265855197777</v>
      </c>
      <c r="J164" s="530">
        <v>708.01281263849319</v>
      </c>
      <c r="K164" s="530">
        <v>1689.3515017839391</v>
      </c>
      <c r="L164" s="530">
        <v>1086.71734032885</v>
      </c>
      <c r="M164" s="530">
        <v>837.11812575241004</v>
      </c>
      <c r="N164" s="530">
        <v>1358.3966754110625</v>
      </c>
      <c r="O164" s="530">
        <v>1437.9904878830268</v>
      </c>
      <c r="P164" s="530">
        <v>740.68184104677312</v>
      </c>
      <c r="Q164" s="530">
        <v>739.95571627846243</v>
      </c>
      <c r="R164" s="530">
        <v>576.57764340856806</v>
      </c>
      <c r="S164" s="530">
        <v>1669.5930046870515</v>
      </c>
      <c r="T164" s="530">
        <v>13319.14691060388</v>
      </c>
      <c r="U164" s="530" t="s">
        <v>57</v>
      </c>
    </row>
    <row r="165" spans="1:21" ht="13.8" x14ac:dyDescent="0.3">
      <c r="A165" s="530" t="str">
        <f t="shared" si="4"/>
        <v>Conwy.2014.Economic Impact.Day Visitor</v>
      </c>
      <c r="B165" s="530" t="s">
        <v>219</v>
      </c>
      <c r="C165" s="530" t="str">
        <f t="shared" si="5"/>
        <v>2014.Economic Impact.Day Visitor</v>
      </c>
      <c r="D165" s="530" t="s">
        <v>233</v>
      </c>
      <c r="E165" s="530" t="s">
        <v>17</v>
      </c>
      <c r="F165" s="530" t="s">
        <v>71</v>
      </c>
      <c r="G165" s="530" t="s">
        <v>71</v>
      </c>
      <c r="H165" s="530">
        <v>2459.5787702067705</v>
      </c>
      <c r="I165" s="530">
        <v>11136.793157146692</v>
      </c>
      <c r="J165" s="530">
        <v>11849.55756998407</v>
      </c>
      <c r="K165" s="530">
        <v>32745.712991206423</v>
      </c>
      <c r="L165" s="530">
        <v>37349.571067685407</v>
      </c>
      <c r="M165" s="530">
        <v>27392.192677741641</v>
      </c>
      <c r="N165" s="530">
        <v>43396.041376644593</v>
      </c>
      <c r="O165" s="530">
        <v>55860.767304747715</v>
      </c>
      <c r="P165" s="530">
        <v>29905.246078209198</v>
      </c>
      <c r="Q165" s="530">
        <v>15718.908090165038</v>
      </c>
      <c r="R165" s="530">
        <v>4084.9945374769304</v>
      </c>
      <c r="S165" s="530">
        <v>1416.1036856139297</v>
      </c>
      <c r="T165" s="530">
        <v>273315.46730682842</v>
      </c>
      <c r="U165" s="530" t="s">
        <v>57</v>
      </c>
    </row>
    <row r="166" spans="1:21" ht="13.8" x14ac:dyDescent="0.3">
      <c r="A166" s="530" t="str">
        <f t="shared" si="4"/>
        <v>Conwy.2014.Economic Impact.Accommodation</v>
      </c>
      <c r="B166" s="530" t="s">
        <v>219</v>
      </c>
      <c r="C166" s="530" t="str">
        <f t="shared" si="5"/>
        <v>2014.Economic Impact.Accommodation</v>
      </c>
      <c r="D166" s="530" t="s">
        <v>233</v>
      </c>
      <c r="E166" s="530" t="s">
        <v>17</v>
      </c>
      <c r="F166" s="530" t="s">
        <v>23</v>
      </c>
      <c r="G166" s="530" t="s">
        <v>23</v>
      </c>
      <c r="H166" s="530">
        <v>3335.2218665056598</v>
      </c>
      <c r="I166" s="530">
        <v>5597.3776340612767</v>
      </c>
      <c r="J166" s="530">
        <v>6666.6754431310046</v>
      </c>
      <c r="K166" s="530">
        <v>8268.0502760586005</v>
      </c>
      <c r="L166" s="530">
        <v>10692.87905761651</v>
      </c>
      <c r="M166" s="530">
        <v>9769.3012298989906</v>
      </c>
      <c r="N166" s="530">
        <v>14777.003558850383</v>
      </c>
      <c r="O166" s="530">
        <v>17865.165402238668</v>
      </c>
      <c r="P166" s="530">
        <v>13928.234768052071</v>
      </c>
      <c r="Q166" s="530">
        <v>7792.5004198611305</v>
      </c>
      <c r="R166" s="530">
        <v>6171.6471989332231</v>
      </c>
      <c r="S166" s="530">
        <v>3936.6069577125995</v>
      </c>
      <c r="T166" s="530">
        <v>108800.66381292012</v>
      </c>
      <c r="U166" s="530" t="s">
        <v>57</v>
      </c>
    </row>
    <row r="167" spans="1:21" ht="13.8" x14ac:dyDescent="0.3">
      <c r="A167" s="530" t="str">
        <f t="shared" si="4"/>
        <v>Conwy.2014.Economic Impact.Food &amp; Drink</v>
      </c>
      <c r="B167" s="530" t="s">
        <v>219</v>
      </c>
      <c r="C167" s="530" t="str">
        <f t="shared" si="5"/>
        <v>2014.Economic Impact.Food &amp; Drink</v>
      </c>
      <c r="D167" s="530" t="s">
        <v>233</v>
      </c>
      <c r="E167" s="530" t="s">
        <v>17</v>
      </c>
      <c r="F167" s="530" t="s">
        <v>49</v>
      </c>
      <c r="G167" s="530" t="s">
        <v>49</v>
      </c>
      <c r="H167" s="530">
        <v>1802.3138209675153</v>
      </c>
      <c r="I167" s="530">
        <v>3291.1903424314455</v>
      </c>
      <c r="J167" s="530">
        <v>6849.1988919124396</v>
      </c>
      <c r="K167" s="530">
        <v>11396.508030019089</v>
      </c>
      <c r="L167" s="530">
        <v>13951.272369395474</v>
      </c>
      <c r="M167" s="530">
        <v>12087.593458752039</v>
      </c>
      <c r="N167" s="530">
        <v>16622.855573202123</v>
      </c>
      <c r="O167" s="530">
        <v>19819.58483207837</v>
      </c>
      <c r="P167" s="530">
        <v>12401.78795626475</v>
      </c>
      <c r="Q167" s="530">
        <v>8382.0372298428738</v>
      </c>
      <c r="R167" s="530">
        <v>4170.8032715227855</v>
      </c>
      <c r="S167" s="530">
        <v>1972.2302827904466</v>
      </c>
      <c r="T167" s="530">
        <v>112747.37605917935</v>
      </c>
      <c r="U167" s="530" t="s">
        <v>57</v>
      </c>
    </row>
    <row r="168" spans="1:21" ht="13.8" x14ac:dyDescent="0.3">
      <c r="A168" s="530" t="str">
        <f t="shared" si="4"/>
        <v>Conwy.2014.Economic Impact.Recreation</v>
      </c>
      <c r="B168" s="530" t="s">
        <v>219</v>
      </c>
      <c r="C168" s="530" t="str">
        <f t="shared" si="5"/>
        <v>2014.Economic Impact.Recreation</v>
      </c>
      <c r="D168" s="530" t="s">
        <v>233</v>
      </c>
      <c r="E168" s="530" t="s">
        <v>17</v>
      </c>
      <c r="F168" s="530" t="s">
        <v>50</v>
      </c>
      <c r="G168" s="530" t="s">
        <v>50</v>
      </c>
      <c r="H168" s="530">
        <v>554.80100914553987</v>
      </c>
      <c r="I168" s="530">
        <v>1056.8972768331682</v>
      </c>
      <c r="J168" s="530">
        <v>2154.3643629413214</v>
      </c>
      <c r="K168" s="530">
        <v>3393.9127743648355</v>
      </c>
      <c r="L168" s="530">
        <v>4383.944766348749</v>
      </c>
      <c r="M168" s="530">
        <v>3761.6480445579505</v>
      </c>
      <c r="N168" s="530">
        <v>4975.8309906945624</v>
      </c>
      <c r="O168" s="530">
        <v>6135.3297518394629</v>
      </c>
      <c r="P168" s="530">
        <v>3851.0330984132734</v>
      </c>
      <c r="Q168" s="530">
        <v>2392.8968583484852</v>
      </c>
      <c r="R168" s="530">
        <v>1294.7331483489327</v>
      </c>
      <c r="S168" s="530">
        <v>633.8077074927412</v>
      </c>
      <c r="T168" s="530">
        <v>34589.199789329024</v>
      </c>
      <c r="U168" s="530" t="s">
        <v>57</v>
      </c>
    </row>
    <row r="169" spans="1:21" ht="13.8" x14ac:dyDescent="0.3">
      <c r="A169" s="530" t="str">
        <f t="shared" si="4"/>
        <v>Conwy.2014.Economic Impact.Shopping</v>
      </c>
      <c r="B169" s="530" t="s">
        <v>219</v>
      </c>
      <c r="C169" s="530" t="str">
        <f t="shared" si="5"/>
        <v>2014.Economic Impact.Shopping</v>
      </c>
      <c r="D169" s="530" t="s">
        <v>233</v>
      </c>
      <c r="E169" s="530" t="s">
        <v>17</v>
      </c>
      <c r="F169" s="530" t="s">
        <v>51</v>
      </c>
      <c r="G169" s="530" t="s">
        <v>51</v>
      </c>
      <c r="H169" s="530">
        <v>2589.8036983597417</v>
      </c>
      <c r="I169" s="530">
        <v>6144.2641885696694</v>
      </c>
      <c r="J169" s="530">
        <v>9758.7378417179279</v>
      </c>
      <c r="K169" s="530">
        <v>18973.343853827242</v>
      </c>
      <c r="L169" s="530">
        <v>22640.684092191492</v>
      </c>
      <c r="M169" s="530">
        <v>18368.257596166401</v>
      </c>
      <c r="N169" s="530">
        <v>26397.989241935364</v>
      </c>
      <c r="O169" s="530">
        <v>32390.18347780202</v>
      </c>
      <c r="P169" s="530">
        <v>19051.571819108107</v>
      </c>
      <c r="Q169" s="530">
        <v>12288.420387742868</v>
      </c>
      <c r="R169" s="530">
        <v>5353.5553129584059</v>
      </c>
      <c r="S169" s="530">
        <v>2665.7088304379217</v>
      </c>
      <c r="T169" s="530">
        <v>176622.52034081714</v>
      </c>
      <c r="U169" s="530" t="s">
        <v>57</v>
      </c>
    </row>
    <row r="170" spans="1:21" ht="13.8" x14ac:dyDescent="0.3">
      <c r="A170" s="530" t="str">
        <f t="shared" si="4"/>
        <v>Conwy.2014.Economic Impact.Transport</v>
      </c>
      <c r="B170" s="530" t="s">
        <v>219</v>
      </c>
      <c r="C170" s="530" t="str">
        <f t="shared" si="5"/>
        <v>2014.Economic Impact.Transport</v>
      </c>
      <c r="D170" s="530" t="s">
        <v>233</v>
      </c>
      <c r="E170" s="530" t="s">
        <v>17</v>
      </c>
      <c r="F170" s="530" t="s">
        <v>52</v>
      </c>
      <c r="G170" s="530" t="s">
        <v>52</v>
      </c>
      <c r="H170" s="530">
        <v>801.39957495892554</v>
      </c>
      <c r="I170" s="530">
        <v>1667.2837059284939</v>
      </c>
      <c r="J170" s="530">
        <v>3165.7391825338395</v>
      </c>
      <c r="K170" s="530">
        <v>5460.736557751321</v>
      </c>
      <c r="L170" s="530">
        <v>6761.3108513390089</v>
      </c>
      <c r="M170" s="530">
        <v>5705.3409467579577</v>
      </c>
      <c r="N170" s="530">
        <v>7858.403292442219</v>
      </c>
      <c r="O170" s="530">
        <v>9540.4899216546219</v>
      </c>
      <c r="P170" s="530">
        <v>5841.3905026977454</v>
      </c>
      <c r="Q170" s="530">
        <v>3833.7887437435961</v>
      </c>
      <c r="R170" s="530">
        <v>1873.9225887854154</v>
      </c>
      <c r="S170" s="530">
        <v>875.98234186457944</v>
      </c>
      <c r="T170" s="530">
        <v>53385.788210457729</v>
      </c>
      <c r="U170" s="530" t="s">
        <v>57</v>
      </c>
    </row>
    <row r="171" spans="1:21" ht="13.8" x14ac:dyDescent="0.3">
      <c r="A171" s="530" t="str">
        <f t="shared" si="4"/>
        <v>Conwy.2014.Economic Impact.Direct Expenditure</v>
      </c>
      <c r="B171" s="530" t="s">
        <v>219</v>
      </c>
      <c r="C171" s="530" t="str">
        <f t="shared" si="5"/>
        <v>2014.Economic Impact.Direct Expenditure</v>
      </c>
      <c r="D171" s="530" t="s">
        <v>233</v>
      </c>
      <c r="E171" s="530" t="s">
        <v>17</v>
      </c>
      <c r="F171" s="530" t="s">
        <v>44</v>
      </c>
      <c r="G171" s="530" t="s">
        <v>44</v>
      </c>
      <c r="H171" s="530">
        <v>10900.247963924858</v>
      </c>
      <c r="I171" s="530">
        <v>21308.415777388866</v>
      </c>
      <c r="J171" s="530">
        <v>34313.658866683836</v>
      </c>
      <c r="K171" s="530">
        <v>56991.061790425301</v>
      </c>
      <c r="L171" s="530">
        <v>70116.109364269476</v>
      </c>
      <c r="M171" s="530">
        <v>59630.569531360008</v>
      </c>
      <c r="N171" s="530">
        <v>84758.499188549584</v>
      </c>
      <c r="O171" s="530">
        <v>102900.90406273578</v>
      </c>
      <c r="P171" s="530">
        <v>66088.821773443138</v>
      </c>
      <c r="Q171" s="530">
        <v>41627.572367446744</v>
      </c>
      <c r="R171" s="530">
        <v>22637.593824658514</v>
      </c>
      <c r="S171" s="530">
        <v>12101.203344357946</v>
      </c>
      <c r="T171" s="530">
        <v>583374.657855244</v>
      </c>
      <c r="U171" s="530" t="s">
        <v>57</v>
      </c>
    </row>
    <row r="172" spans="1:21" ht="13.8" x14ac:dyDescent="0.3">
      <c r="A172" s="530" t="str">
        <f t="shared" si="4"/>
        <v>Conwy.2014.Population.Total</v>
      </c>
      <c r="B172" s="530" t="s">
        <v>219</v>
      </c>
      <c r="C172" s="530" t="str">
        <f t="shared" si="5"/>
        <v>2014.Population.Total</v>
      </c>
      <c r="D172" s="530" t="s">
        <v>233</v>
      </c>
      <c r="E172" s="530" t="s">
        <v>19</v>
      </c>
      <c r="F172" s="530" t="s">
        <v>54</v>
      </c>
      <c r="G172" s="530" t="s">
        <v>54</v>
      </c>
      <c r="H172" s="530">
        <v>115800</v>
      </c>
      <c r="I172" s="530">
        <v>115800</v>
      </c>
      <c r="J172" s="530">
        <v>115800</v>
      </c>
      <c r="K172" s="530">
        <v>115800</v>
      </c>
      <c r="L172" s="530">
        <v>115800</v>
      </c>
      <c r="M172" s="530">
        <v>115800</v>
      </c>
      <c r="N172" s="530">
        <v>115800</v>
      </c>
      <c r="O172" s="530">
        <v>115800</v>
      </c>
      <c r="P172" s="530">
        <v>115800</v>
      </c>
      <c r="Q172" s="530">
        <v>115800</v>
      </c>
      <c r="R172" s="530">
        <v>115800</v>
      </c>
      <c r="S172" s="530">
        <v>115800</v>
      </c>
      <c r="T172" s="530">
        <v>115800</v>
      </c>
      <c r="U172" s="530" t="s">
        <v>60</v>
      </c>
    </row>
    <row r="173" spans="1:21" ht="13.8" x14ac:dyDescent="0.3">
      <c r="A173" s="530" t="str">
        <f t="shared" si="4"/>
        <v>Conwy.2014.Employment.Serviced Accommodation</v>
      </c>
      <c r="B173" s="530" t="s">
        <v>219</v>
      </c>
      <c r="C173" s="530" t="str">
        <f t="shared" si="5"/>
        <v>2014.Employment.Serviced Accommodation</v>
      </c>
      <c r="D173" s="530" t="s">
        <v>233</v>
      </c>
      <c r="E173" s="530" t="s">
        <v>20</v>
      </c>
      <c r="F173" s="530" t="s">
        <v>43</v>
      </c>
      <c r="G173" s="530" t="s">
        <v>43</v>
      </c>
      <c r="H173" s="530">
        <v>2265.5698364261707</v>
      </c>
      <c r="I173" s="530">
        <v>2682.5806559617395</v>
      </c>
      <c r="J173" s="530">
        <v>2870.179451355767</v>
      </c>
      <c r="K173" s="530">
        <v>3186.238629139817</v>
      </c>
      <c r="L173" s="530">
        <v>3482.7464679598106</v>
      </c>
      <c r="M173" s="530">
        <v>3331.0721370890783</v>
      </c>
      <c r="N173" s="530">
        <v>3301.834001473846</v>
      </c>
      <c r="O173" s="530">
        <v>3474.115187431516</v>
      </c>
      <c r="P173" s="530">
        <v>3207.9377341038889</v>
      </c>
      <c r="Q173" s="530">
        <v>3126.0044380345098</v>
      </c>
      <c r="R173" s="530">
        <v>2859.1026346726285</v>
      </c>
      <c r="S173" s="530">
        <v>2437.9394075198825</v>
      </c>
      <c r="T173" s="530">
        <v>3018.7767150973873</v>
      </c>
      <c r="U173" s="530" t="s">
        <v>59</v>
      </c>
    </row>
    <row r="174" spans="1:21" ht="13.8" x14ac:dyDescent="0.3">
      <c r="A174" s="530" t="str">
        <f t="shared" si="4"/>
        <v>Conwy.2014.Employment.Non-Serviced Accommodation</v>
      </c>
      <c r="B174" s="530" t="s">
        <v>219</v>
      </c>
      <c r="C174" s="530" t="str">
        <f t="shared" si="5"/>
        <v>2014.Employment.Non-Serviced Accommodation</v>
      </c>
      <c r="D174" s="530" t="s">
        <v>233</v>
      </c>
      <c r="E174" s="530" t="s">
        <v>20</v>
      </c>
      <c r="F174" s="530" t="s">
        <v>48</v>
      </c>
      <c r="G174" s="530" t="s">
        <v>48</v>
      </c>
      <c r="H174" s="530">
        <v>933.66571629512509</v>
      </c>
      <c r="I174" s="530">
        <v>1076.7251214409364</v>
      </c>
      <c r="J174" s="530">
        <v>3161.8385259725756</v>
      </c>
      <c r="K174" s="530">
        <v>3735.3722290213991</v>
      </c>
      <c r="L174" s="530">
        <v>4670.4845577622318</v>
      </c>
      <c r="M174" s="530">
        <v>4493.9383961618505</v>
      </c>
      <c r="N174" s="530">
        <v>5640.0883676951526</v>
      </c>
      <c r="O174" s="530">
        <v>6644.2262032130584</v>
      </c>
      <c r="P174" s="530">
        <v>4565.8205853760583</v>
      </c>
      <c r="Q174" s="530">
        <v>3506.3761164363268</v>
      </c>
      <c r="R174" s="530">
        <v>2147.7727668988855</v>
      </c>
      <c r="S174" s="530">
        <v>1155.7891480849262</v>
      </c>
      <c r="T174" s="530">
        <v>3477.6748111965444</v>
      </c>
      <c r="U174" s="530" t="s">
        <v>59</v>
      </c>
    </row>
    <row r="175" spans="1:21" ht="13.8" x14ac:dyDescent="0.3">
      <c r="A175" s="530" t="str">
        <f t="shared" si="4"/>
        <v>Conwy.2014.Employment.SFR</v>
      </c>
      <c r="B175" s="530" t="s">
        <v>219</v>
      </c>
      <c r="C175" s="530" t="str">
        <f t="shared" si="5"/>
        <v>2014.Employment.SFR</v>
      </c>
      <c r="D175" s="530" t="s">
        <v>233</v>
      </c>
      <c r="E175" s="530" t="s">
        <v>20</v>
      </c>
      <c r="F175" s="530" t="s">
        <v>18</v>
      </c>
      <c r="G175" s="530" t="s">
        <v>18</v>
      </c>
      <c r="H175" s="530">
        <v>232.83085430404262</v>
      </c>
      <c r="I175" s="530">
        <v>78.231167046158319</v>
      </c>
      <c r="J175" s="530">
        <v>88.993126533989624</v>
      </c>
      <c r="K175" s="530">
        <v>212.34173912528689</v>
      </c>
      <c r="L175" s="530">
        <v>136.59410119170505</v>
      </c>
      <c r="M175" s="530">
        <v>105.22091967708297</v>
      </c>
      <c r="N175" s="530">
        <v>170.74262648963128</v>
      </c>
      <c r="O175" s="530">
        <v>180.74710959812677</v>
      </c>
      <c r="P175" s="530">
        <v>93.099434960875456</v>
      </c>
      <c r="Q175" s="530">
        <v>93.008165265988239</v>
      </c>
      <c r="R175" s="530">
        <v>72.472483916371658</v>
      </c>
      <c r="S175" s="530">
        <v>209.85821001271049</v>
      </c>
      <c r="T175" s="530">
        <v>139.51166151016412</v>
      </c>
      <c r="U175" s="530" t="s">
        <v>59</v>
      </c>
    </row>
    <row r="176" spans="1:21" ht="13.8" x14ac:dyDescent="0.3">
      <c r="A176" s="530" t="str">
        <f t="shared" si="4"/>
        <v>Conwy.2014.Employment.Day Visitor</v>
      </c>
      <c r="B176" s="530" t="s">
        <v>219</v>
      </c>
      <c r="C176" s="530" t="str">
        <f t="shared" si="5"/>
        <v>2014.Employment.Day Visitor</v>
      </c>
      <c r="D176" s="530" t="s">
        <v>233</v>
      </c>
      <c r="E176" s="530" t="s">
        <v>20</v>
      </c>
      <c r="F176" s="530" t="s">
        <v>71</v>
      </c>
      <c r="G176" s="530" t="s">
        <v>71</v>
      </c>
      <c r="H176" s="530">
        <v>282.68578130186467</v>
      </c>
      <c r="I176" s="530">
        <v>1279.9805856840314</v>
      </c>
      <c r="J176" s="530">
        <v>1361.9004523570393</v>
      </c>
      <c r="K176" s="530">
        <v>3763.549910795341</v>
      </c>
      <c r="L176" s="530">
        <v>4292.6832864436246</v>
      </c>
      <c r="M176" s="530">
        <v>3148.2559056352743</v>
      </c>
      <c r="N176" s="530">
        <v>4987.6198357873818</v>
      </c>
      <c r="O176" s="530">
        <v>6420.2231865648882</v>
      </c>
      <c r="P176" s="530">
        <v>3437.0876651908984</v>
      </c>
      <c r="Q176" s="530">
        <v>1806.61496533691</v>
      </c>
      <c r="R176" s="530">
        <v>469.49904041635409</v>
      </c>
      <c r="S176" s="530">
        <v>162.75647749983241</v>
      </c>
      <c r="T176" s="530">
        <v>2617.7380910844536</v>
      </c>
      <c r="U176" s="530" t="s">
        <v>59</v>
      </c>
    </row>
    <row r="177" spans="1:21" ht="13.8" x14ac:dyDescent="0.3">
      <c r="A177" s="530" t="str">
        <f t="shared" si="4"/>
        <v>Conwy.2014.Employment.Direct Employment</v>
      </c>
      <c r="B177" s="530" t="s">
        <v>219</v>
      </c>
      <c r="C177" s="530" t="str">
        <f t="shared" si="5"/>
        <v>2014.Employment.Direct Employment</v>
      </c>
      <c r="D177" s="530" t="s">
        <v>233</v>
      </c>
      <c r="E177" s="530" t="s">
        <v>20</v>
      </c>
      <c r="F177" s="530" t="s">
        <v>55</v>
      </c>
      <c r="G177" s="530" t="s">
        <v>55</v>
      </c>
      <c r="H177" s="530">
        <v>3714.7521883272029</v>
      </c>
      <c r="I177" s="530">
        <v>5117.5175301328654</v>
      </c>
      <c r="J177" s="530">
        <v>7482.9115562193711</v>
      </c>
      <c r="K177" s="530">
        <v>10897.502508081845</v>
      </c>
      <c r="L177" s="530">
        <v>12582.508413357373</v>
      </c>
      <c r="M177" s="530">
        <v>11078.487358563285</v>
      </c>
      <c r="N177" s="530">
        <v>14100.284831446012</v>
      </c>
      <c r="O177" s="530">
        <v>16719.311686807589</v>
      </c>
      <c r="P177" s="530">
        <v>11303.94541963172</v>
      </c>
      <c r="Q177" s="530">
        <v>8532.0036850737342</v>
      </c>
      <c r="R177" s="530">
        <v>5548.8469259042395</v>
      </c>
      <c r="S177" s="530">
        <v>3966.3432431173514</v>
      </c>
      <c r="T177" s="530">
        <v>9253.7012788885495</v>
      </c>
      <c r="U177" s="530" t="s">
        <v>59</v>
      </c>
    </row>
    <row r="178" spans="1:21" ht="13.8" x14ac:dyDescent="0.3">
      <c r="A178" s="530" t="str">
        <f t="shared" si="4"/>
        <v>Conwy.2014.Employment.Indirect Employment</v>
      </c>
      <c r="B178" s="530" t="s">
        <v>219</v>
      </c>
      <c r="C178" s="530" t="str">
        <f t="shared" si="5"/>
        <v>2014.Employment.Indirect Employment</v>
      </c>
      <c r="D178" s="530" t="s">
        <v>233</v>
      </c>
      <c r="E178" s="530" t="s">
        <v>20</v>
      </c>
      <c r="F178" s="530" t="s">
        <v>53</v>
      </c>
      <c r="G178" s="530" t="s">
        <v>53</v>
      </c>
      <c r="H178" s="530">
        <v>435.93114915283377</v>
      </c>
      <c r="I178" s="530">
        <v>877.95119046575314</v>
      </c>
      <c r="J178" s="530">
        <v>1447.3622654831829</v>
      </c>
      <c r="K178" s="530">
        <v>2432.184755014011</v>
      </c>
      <c r="L178" s="530">
        <v>2977.3053379695198</v>
      </c>
      <c r="M178" s="530">
        <v>2524.413935168538</v>
      </c>
      <c r="N178" s="530">
        <v>3627.5865138852264</v>
      </c>
      <c r="O178" s="530">
        <v>4411.2110674693495</v>
      </c>
      <c r="P178" s="530">
        <v>2809.8675762017128</v>
      </c>
      <c r="Q178" s="530">
        <v>1748.8959534075009</v>
      </c>
      <c r="R178" s="530">
        <v>919.0075281679284</v>
      </c>
      <c r="S178" s="530">
        <v>495.37959617835685</v>
      </c>
      <c r="T178" s="530">
        <v>2058.9247390469923</v>
      </c>
      <c r="U178" s="530" t="s">
        <v>59</v>
      </c>
    </row>
    <row r="179" spans="1:21" ht="13.8" x14ac:dyDescent="0.3">
      <c r="A179" s="530" t="str">
        <f t="shared" si="4"/>
        <v>Conwy.2014.Employment.Total</v>
      </c>
      <c r="B179" s="530" t="s">
        <v>219</v>
      </c>
      <c r="C179" s="530" t="str">
        <f t="shared" si="5"/>
        <v>2014.Employment.Total</v>
      </c>
      <c r="D179" s="530" t="s">
        <v>233</v>
      </c>
      <c r="E179" s="530" t="s">
        <v>20</v>
      </c>
      <c r="F179" s="530" t="s">
        <v>54</v>
      </c>
      <c r="G179" s="530" t="s">
        <v>54</v>
      </c>
      <c r="H179" s="530">
        <v>4150.6833374800372</v>
      </c>
      <c r="I179" s="530">
        <v>5995.4687205986183</v>
      </c>
      <c r="J179" s="530">
        <v>8930.2738217025544</v>
      </c>
      <c r="K179" s="530">
        <v>13329.687263095857</v>
      </c>
      <c r="L179" s="530">
        <v>15559.813751326892</v>
      </c>
      <c r="M179" s="530">
        <v>13602.901293731822</v>
      </c>
      <c r="N179" s="530">
        <v>17727.871345331238</v>
      </c>
      <c r="O179" s="530">
        <v>21130.522754276939</v>
      </c>
      <c r="P179" s="530">
        <v>14113.812995833432</v>
      </c>
      <c r="Q179" s="530">
        <v>10280.899638481234</v>
      </c>
      <c r="R179" s="530">
        <v>6467.8544540721678</v>
      </c>
      <c r="S179" s="530">
        <v>4461.7228392957086</v>
      </c>
      <c r="T179" s="530">
        <v>11312.626017935543</v>
      </c>
      <c r="U179" s="530" t="s">
        <v>59</v>
      </c>
    </row>
    <row r="180" spans="1:21" ht="13.8" x14ac:dyDescent="0.3">
      <c r="A180" s="530" t="str">
        <f t="shared" si="4"/>
        <v>Conwy.2014.Employment.Accommodation</v>
      </c>
      <c r="B180" s="530" t="s">
        <v>219</v>
      </c>
      <c r="C180" s="530" t="str">
        <f t="shared" si="5"/>
        <v>2014.Employment.Accommodation</v>
      </c>
      <c r="D180" s="530" t="s">
        <v>233</v>
      </c>
      <c r="E180" s="530" t="s">
        <v>20</v>
      </c>
      <c r="F180" s="530" t="s">
        <v>23</v>
      </c>
      <c r="G180" s="530" t="s">
        <v>23</v>
      </c>
      <c r="H180" s="530">
        <v>2608</v>
      </c>
      <c r="I180" s="530">
        <v>2818.4091356918943</v>
      </c>
      <c r="J180" s="530">
        <v>3271.2000000000003</v>
      </c>
      <c r="K180" s="530">
        <v>3430.6463231494149</v>
      </c>
      <c r="L180" s="530">
        <v>3487.9585681002427</v>
      </c>
      <c r="M180" s="530">
        <v>3441.3366034037244</v>
      </c>
      <c r="N180" s="530">
        <v>3438.9</v>
      </c>
      <c r="O180" s="530">
        <v>3785.4546202172319</v>
      </c>
      <c r="P180" s="530">
        <v>3434.7</v>
      </c>
      <c r="Q180" s="530">
        <v>3374.2999999999997</v>
      </c>
      <c r="R180" s="530">
        <v>3097</v>
      </c>
      <c r="S180" s="530">
        <v>2779.2</v>
      </c>
      <c r="T180" s="530">
        <v>3247.2587708802093</v>
      </c>
      <c r="U180" s="530" t="s">
        <v>59</v>
      </c>
    </row>
    <row r="181" spans="1:21" ht="13.8" x14ac:dyDescent="0.3">
      <c r="A181" s="530" t="str">
        <f t="shared" si="4"/>
        <v>Conwy.2014.Employment.Food &amp; Drink</v>
      </c>
      <c r="B181" s="530" t="s">
        <v>219</v>
      </c>
      <c r="C181" s="530" t="str">
        <f t="shared" si="5"/>
        <v>2014.Employment.Food &amp; Drink</v>
      </c>
      <c r="D181" s="530" t="s">
        <v>233</v>
      </c>
      <c r="E181" s="530" t="s">
        <v>20</v>
      </c>
      <c r="F181" s="530" t="s">
        <v>49</v>
      </c>
      <c r="G181" s="530" t="s">
        <v>49</v>
      </c>
      <c r="H181" s="530">
        <v>455.21614212008416</v>
      </c>
      <c r="I181" s="530">
        <v>831.26642720869688</v>
      </c>
      <c r="J181" s="530">
        <v>1729.9239787862296</v>
      </c>
      <c r="K181" s="530">
        <v>2878.4523309491706</v>
      </c>
      <c r="L181" s="530">
        <v>3523.7172970540078</v>
      </c>
      <c r="M181" s="530">
        <v>3053.0019787870469</v>
      </c>
      <c r="N181" s="530">
        <v>4198.4875758153539</v>
      </c>
      <c r="O181" s="530">
        <v>5005.8956662925502</v>
      </c>
      <c r="P181" s="530">
        <v>3132.3590837313545</v>
      </c>
      <c r="Q181" s="530">
        <v>2117.0778398778994</v>
      </c>
      <c r="R181" s="530">
        <v>1053.4330662710092</v>
      </c>
      <c r="S181" s="530">
        <v>498.13248406557688</v>
      </c>
      <c r="T181" s="530">
        <v>2373.080322579915</v>
      </c>
      <c r="U181" s="530" t="s">
        <v>59</v>
      </c>
    </row>
    <row r="182" spans="1:21" ht="13.8" x14ac:dyDescent="0.3">
      <c r="A182" s="530" t="str">
        <f t="shared" si="4"/>
        <v>Conwy.2014.Employment.Recreation</v>
      </c>
      <c r="B182" s="530" t="s">
        <v>219</v>
      </c>
      <c r="C182" s="530" t="str">
        <f t="shared" si="5"/>
        <v>2014.Employment.Recreation</v>
      </c>
      <c r="D182" s="530" t="s">
        <v>233</v>
      </c>
      <c r="E182" s="530" t="s">
        <v>20</v>
      </c>
      <c r="F182" s="530" t="s">
        <v>50</v>
      </c>
      <c r="G182" s="530" t="s">
        <v>50</v>
      </c>
      <c r="H182" s="530">
        <v>123.94657362511826</v>
      </c>
      <c r="I182" s="530">
        <v>236.11852534108246</v>
      </c>
      <c r="J182" s="530">
        <v>481.30064063490022</v>
      </c>
      <c r="K182" s="530">
        <v>758.22475559825182</v>
      </c>
      <c r="L182" s="530">
        <v>979.40509082267113</v>
      </c>
      <c r="M182" s="530">
        <v>840.37948493398551</v>
      </c>
      <c r="N182" s="530">
        <v>1111.6367707840295</v>
      </c>
      <c r="O182" s="530">
        <v>1370.6772126675428</v>
      </c>
      <c r="P182" s="530">
        <v>860.34875495338736</v>
      </c>
      <c r="Q182" s="530">
        <v>534.59053199523021</v>
      </c>
      <c r="R182" s="530">
        <v>289.25278586617412</v>
      </c>
      <c r="S182" s="530">
        <v>141.59724367103382</v>
      </c>
      <c r="T182" s="530">
        <v>643.95653090778387</v>
      </c>
      <c r="U182" s="530" t="s">
        <v>59</v>
      </c>
    </row>
    <row r="183" spans="1:21" ht="13.8" x14ac:dyDescent="0.3">
      <c r="A183" s="530" t="str">
        <f t="shared" si="4"/>
        <v>Conwy.2014.Employment.Shopping</v>
      </c>
      <c r="B183" s="530" t="s">
        <v>219</v>
      </c>
      <c r="C183" s="530" t="str">
        <f t="shared" si="5"/>
        <v>2014.Employment.Shopping</v>
      </c>
      <c r="D183" s="530" t="s">
        <v>233</v>
      </c>
      <c r="E183" s="530" t="s">
        <v>20</v>
      </c>
      <c r="F183" s="530" t="s">
        <v>51</v>
      </c>
      <c r="G183" s="530" t="s">
        <v>51</v>
      </c>
      <c r="H183" s="530">
        <v>459.19156625621315</v>
      </c>
      <c r="I183" s="530">
        <v>1089.4239968952875</v>
      </c>
      <c r="J183" s="530">
        <v>1730.2972101941034</v>
      </c>
      <c r="K183" s="530">
        <v>3364.1157771435132</v>
      </c>
      <c r="L183" s="530">
        <v>4014.3626314187954</v>
      </c>
      <c r="M183" s="530">
        <v>3256.8294578941545</v>
      </c>
      <c r="N183" s="530">
        <v>4680.5609373777224</v>
      </c>
      <c r="O183" s="530">
        <v>5743.0217942456666</v>
      </c>
      <c r="P183" s="530">
        <v>3377.9861804969055</v>
      </c>
      <c r="Q183" s="530">
        <v>2178.8288464628695</v>
      </c>
      <c r="R183" s="530">
        <v>949.22539911176148</v>
      </c>
      <c r="S183" s="530">
        <v>472.65011390904868</v>
      </c>
      <c r="T183" s="530">
        <v>2609.7078259505033</v>
      </c>
      <c r="U183" s="530" t="s">
        <v>59</v>
      </c>
    </row>
    <row r="184" spans="1:21" ht="13.8" x14ac:dyDescent="0.3">
      <c r="A184" s="530" t="str">
        <f t="shared" si="4"/>
        <v>Conwy.2014.Employment.Transport</v>
      </c>
      <c r="B184" s="530" t="s">
        <v>219</v>
      </c>
      <c r="C184" s="530" t="str">
        <f t="shared" si="5"/>
        <v>2014.Employment.Transport</v>
      </c>
      <c r="D184" s="530" t="s">
        <v>233</v>
      </c>
      <c r="E184" s="530" t="s">
        <v>20</v>
      </c>
      <c r="F184" s="530" t="s">
        <v>52</v>
      </c>
      <c r="G184" s="530" t="s">
        <v>52</v>
      </c>
      <c r="H184" s="530">
        <v>68.397906325787673</v>
      </c>
      <c r="I184" s="530">
        <v>142.29944499590496</v>
      </c>
      <c r="J184" s="530">
        <v>270.18972660413885</v>
      </c>
      <c r="K184" s="530">
        <v>466.06332124149475</v>
      </c>
      <c r="L184" s="530">
        <v>577.06482596165574</v>
      </c>
      <c r="M184" s="530">
        <v>486.93983354437432</v>
      </c>
      <c r="N184" s="530">
        <v>670.69954746890517</v>
      </c>
      <c r="O184" s="530">
        <v>814.26239338459789</v>
      </c>
      <c r="P184" s="530">
        <v>498.55140045007369</v>
      </c>
      <c r="Q184" s="530">
        <v>327.20646673773632</v>
      </c>
      <c r="R184" s="530">
        <v>159.93567465529495</v>
      </c>
      <c r="S184" s="530">
        <v>74.763401471692177</v>
      </c>
      <c r="T184" s="530">
        <v>379.69782857013803</v>
      </c>
      <c r="U184" s="530" t="s">
        <v>59</v>
      </c>
    </row>
    <row r="185" spans="1:21" ht="13.8" x14ac:dyDescent="0.3">
      <c r="A185" s="530" t="str">
        <f t="shared" si="4"/>
        <v>Conwy.2014.Visitor Days.Serviced Accommodation</v>
      </c>
      <c r="B185" s="530" t="s">
        <v>219</v>
      </c>
      <c r="C185" s="530" t="str">
        <f t="shared" si="5"/>
        <v>2014.Visitor Days.Serviced Accommodation</v>
      </c>
      <c r="D185" s="530" t="s">
        <v>233</v>
      </c>
      <c r="E185" s="530" t="s">
        <v>171</v>
      </c>
      <c r="F185" s="530" t="s">
        <v>43</v>
      </c>
      <c r="G185" s="530" t="s">
        <v>43</v>
      </c>
      <c r="H185" s="530">
        <v>92.492953252648164</v>
      </c>
      <c r="I185" s="530">
        <v>146.46819046235515</v>
      </c>
      <c r="J185" s="530">
        <v>138.34288035839757</v>
      </c>
      <c r="K185" s="530">
        <v>185.66935837612274</v>
      </c>
      <c r="L185" s="530">
        <v>242.07664947538814</v>
      </c>
      <c r="M185" s="530">
        <v>214.16035785556443</v>
      </c>
      <c r="N185" s="530">
        <v>206.49143343002544</v>
      </c>
      <c r="O185" s="530">
        <v>238.75033092058302</v>
      </c>
      <c r="P185" s="530">
        <v>184.76314992123127</v>
      </c>
      <c r="Q185" s="530">
        <v>184.2321715269521</v>
      </c>
      <c r="R185" s="530">
        <v>149.66256205071784</v>
      </c>
      <c r="S185" s="530">
        <v>96.976804333363447</v>
      </c>
      <c r="T185" s="530">
        <v>2080.0868419633489</v>
      </c>
      <c r="U185" s="530" t="s">
        <v>61</v>
      </c>
    </row>
    <row r="186" spans="1:21" ht="13.8" x14ac:dyDescent="0.3">
      <c r="A186" s="530" t="str">
        <f t="shared" si="4"/>
        <v>Conwy.2014.Visitor Days.Non-Serviced Accommodation</v>
      </c>
      <c r="B186" s="530" t="s">
        <v>219</v>
      </c>
      <c r="C186" s="530" t="str">
        <f t="shared" si="5"/>
        <v>2014.Visitor Days.Non-Serviced Accommodation</v>
      </c>
      <c r="D186" s="530" t="s">
        <v>233</v>
      </c>
      <c r="E186" s="530" t="s">
        <v>171</v>
      </c>
      <c r="F186" s="530" t="s">
        <v>48</v>
      </c>
      <c r="G186" s="530" t="s">
        <v>48</v>
      </c>
      <c r="H186" s="530">
        <v>40.003004395649889</v>
      </c>
      <c r="I186" s="530">
        <v>69.735270833359266</v>
      </c>
      <c r="J186" s="530">
        <v>553.85309951394231</v>
      </c>
      <c r="K186" s="530">
        <v>684.97044045525718</v>
      </c>
      <c r="L186" s="530">
        <v>903.32639688866004</v>
      </c>
      <c r="M186" s="530">
        <v>877.95571365413139</v>
      </c>
      <c r="N186" s="530">
        <v>1181.1341442712519</v>
      </c>
      <c r="O186" s="530">
        <v>1342.9280648919209</v>
      </c>
      <c r="P186" s="530">
        <v>905.95782247648799</v>
      </c>
      <c r="Q186" s="530">
        <v>639.20116919289489</v>
      </c>
      <c r="R186" s="530">
        <v>321.29811855225904</v>
      </c>
      <c r="S186" s="530">
        <v>90.009317654558885</v>
      </c>
      <c r="T186" s="530">
        <v>7610.3725627803742</v>
      </c>
      <c r="U186" s="530" t="s">
        <v>61</v>
      </c>
    </row>
    <row r="187" spans="1:21" ht="13.8" x14ac:dyDescent="0.3">
      <c r="A187" s="530" t="str">
        <f t="shared" si="4"/>
        <v>Conwy.2014.Visitor Days.SFR</v>
      </c>
      <c r="B187" s="530" t="s">
        <v>219</v>
      </c>
      <c r="C187" s="530" t="str">
        <f t="shared" si="5"/>
        <v>2014.Visitor Days.SFR</v>
      </c>
      <c r="D187" s="530" t="s">
        <v>233</v>
      </c>
      <c r="E187" s="530" t="s">
        <v>171</v>
      </c>
      <c r="F187" s="530" t="s">
        <v>18</v>
      </c>
      <c r="G187" s="530" t="s">
        <v>18</v>
      </c>
      <c r="H187" s="530">
        <v>59.215909090909086</v>
      </c>
      <c r="I187" s="530">
        <v>19.896545454545453</v>
      </c>
      <c r="J187" s="530">
        <v>22.633636363636363</v>
      </c>
      <c r="K187" s="530">
        <v>54.004909090909088</v>
      </c>
      <c r="L187" s="530">
        <v>34.74</v>
      </c>
      <c r="M187" s="530">
        <v>26.760853636363638</v>
      </c>
      <c r="N187" s="530">
        <v>43.424999999999997</v>
      </c>
      <c r="O187" s="530">
        <v>45.969441818181814</v>
      </c>
      <c r="P187" s="530">
        <v>23.677994454545455</v>
      </c>
      <c r="Q187" s="530">
        <v>23.654781818181814</v>
      </c>
      <c r="R187" s="530">
        <v>18.431938636363633</v>
      </c>
      <c r="S187" s="530">
        <v>53.373272727272735</v>
      </c>
      <c r="T187" s="530">
        <v>425.78428309090896</v>
      </c>
      <c r="U187" s="530" t="s">
        <v>61</v>
      </c>
    </row>
    <row r="188" spans="1:21" ht="13.8" x14ac:dyDescent="0.3">
      <c r="A188" s="530" t="str">
        <f t="shared" si="4"/>
        <v>Conwy.2014.Visitor Days.Day Visitor</v>
      </c>
      <c r="B188" s="530" t="s">
        <v>219</v>
      </c>
      <c r="C188" s="530" t="str">
        <f t="shared" si="5"/>
        <v>2014.Visitor Days.Day Visitor</v>
      </c>
      <c r="D188" s="530" t="s">
        <v>233</v>
      </c>
      <c r="E188" s="530" t="s">
        <v>171</v>
      </c>
      <c r="F188" s="530" t="s">
        <v>71</v>
      </c>
      <c r="G188" s="530" t="s">
        <v>71</v>
      </c>
      <c r="H188" s="530">
        <v>56.515616745433221</v>
      </c>
      <c r="I188" s="530">
        <v>255.89858778523831</v>
      </c>
      <c r="J188" s="530">
        <v>272.27631915682372</v>
      </c>
      <c r="K188" s="530">
        <v>752.42321485454875</v>
      </c>
      <c r="L188" s="530">
        <v>858.20957215782812</v>
      </c>
      <c r="M188" s="530">
        <v>629.41129674093145</v>
      </c>
      <c r="N188" s="530">
        <v>997.14393066794446</v>
      </c>
      <c r="O188" s="530">
        <v>1283.5554422335281</v>
      </c>
      <c r="P188" s="530">
        <v>687.15564083839342</v>
      </c>
      <c r="Q188" s="530">
        <v>361.18533630283957</v>
      </c>
      <c r="R188" s="530">
        <v>93.864034152411435</v>
      </c>
      <c r="S188" s="530">
        <v>32.538894113655168</v>
      </c>
      <c r="T188" s="530">
        <v>6280.1778857495747</v>
      </c>
      <c r="U188" s="530" t="s">
        <v>61</v>
      </c>
    </row>
    <row r="189" spans="1:21" ht="13.8" x14ac:dyDescent="0.3">
      <c r="A189" s="530" t="str">
        <f t="shared" si="4"/>
        <v>Conwy.2014.Visitor Days.Total</v>
      </c>
      <c r="B189" s="530" t="s">
        <v>219</v>
      </c>
      <c r="C189" s="530" t="str">
        <f t="shared" si="5"/>
        <v>2014.Visitor Days.Total</v>
      </c>
      <c r="D189" s="530" t="s">
        <v>233</v>
      </c>
      <c r="E189" s="530" t="s">
        <v>171</v>
      </c>
      <c r="F189" s="530" t="s">
        <v>54</v>
      </c>
      <c r="G189" s="530" t="s">
        <v>54</v>
      </c>
      <c r="H189" s="530">
        <v>248.22748348464037</v>
      </c>
      <c r="I189" s="530">
        <v>491.99859453549817</v>
      </c>
      <c r="J189" s="530">
        <v>987.10593539279989</v>
      </c>
      <c r="K189" s="530">
        <v>1677.0679227768378</v>
      </c>
      <c r="L189" s="530">
        <v>2038.3526185218761</v>
      </c>
      <c r="M189" s="530">
        <v>1748.2882218869909</v>
      </c>
      <c r="N189" s="530">
        <v>2428.1945083692217</v>
      </c>
      <c r="O189" s="530">
        <v>2911.203279864214</v>
      </c>
      <c r="P189" s="530">
        <v>1801.5546076906585</v>
      </c>
      <c r="Q189" s="530">
        <v>1208.2734588408684</v>
      </c>
      <c r="R189" s="530">
        <v>583.25665339175191</v>
      </c>
      <c r="S189" s="530">
        <v>272.89828882885024</v>
      </c>
      <c r="T189" s="530">
        <v>16396.421573584208</v>
      </c>
      <c r="U189" s="530" t="s">
        <v>61</v>
      </c>
    </row>
    <row r="190" spans="1:21" ht="13.8" x14ac:dyDescent="0.3">
      <c r="A190" s="530" t="str">
        <f t="shared" si="4"/>
        <v>Conwy.2014.Visitor Numbers.Serviced Accommodation</v>
      </c>
      <c r="B190" s="530" t="s">
        <v>219</v>
      </c>
      <c r="C190" s="530" t="str">
        <f t="shared" si="5"/>
        <v>2014.Visitor Numbers.Serviced Accommodation</v>
      </c>
      <c r="D190" s="530" t="s">
        <v>233</v>
      </c>
      <c r="E190" s="530" t="s">
        <v>172</v>
      </c>
      <c r="F190" s="530" t="s">
        <v>43</v>
      </c>
      <c r="G190" s="530" t="s">
        <v>43</v>
      </c>
      <c r="H190" s="530">
        <v>59.343258747674497</v>
      </c>
      <c r="I190" s="530">
        <v>98.683895497713053</v>
      </c>
      <c r="J190" s="530">
        <v>66.951381195744773</v>
      </c>
      <c r="K190" s="530">
        <v>101.96333247690885</v>
      </c>
      <c r="L190" s="530">
        <v>128.62827346303419</v>
      </c>
      <c r="M190" s="530">
        <v>120.1111932710478</v>
      </c>
      <c r="N190" s="530">
        <v>118.99822192621241</v>
      </c>
      <c r="O190" s="530">
        <v>135.41637958160237</v>
      </c>
      <c r="P190" s="530">
        <v>93.577269357151096</v>
      </c>
      <c r="Q190" s="530">
        <v>107.14281965212295</v>
      </c>
      <c r="R190" s="530">
        <v>87.081402764158796</v>
      </c>
      <c r="S190" s="530">
        <v>59.176910739677211</v>
      </c>
      <c r="T190" s="530">
        <v>1177.074338673048</v>
      </c>
      <c r="U190" s="530" t="s">
        <v>61</v>
      </c>
    </row>
    <row r="191" spans="1:21" ht="13.8" x14ac:dyDescent="0.3">
      <c r="A191" s="530" t="str">
        <f t="shared" si="4"/>
        <v>Conwy.2014.Visitor Numbers.Non-Serviced Accommodation</v>
      </c>
      <c r="B191" s="530" t="s">
        <v>219</v>
      </c>
      <c r="C191" s="530" t="str">
        <f t="shared" si="5"/>
        <v>2014.Visitor Numbers.Non-Serviced Accommodation</v>
      </c>
      <c r="D191" s="530" t="s">
        <v>233</v>
      </c>
      <c r="E191" s="530" t="s">
        <v>172</v>
      </c>
      <c r="F191" s="530" t="s">
        <v>48</v>
      </c>
      <c r="G191" s="530" t="s">
        <v>48</v>
      </c>
      <c r="H191" s="530">
        <v>11.76558952813232</v>
      </c>
      <c r="I191" s="530">
        <v>17.433817708339816</v>
      </c>
      <c r="J191" s="530">
        <v>115.38606239873799</v>
      </c>
      <c r="K191" s="530">
        <v>107.02663132113393</v>
      </c>
      <c r="L191" s="530">
        <v>130.91686911429855</v>
      </c>
      <c r="M191" s="530">
        <v>125.42224480773305</v>
      </c>
      <c r="N191" s="530">
        <v>166.35692172834536</v>
      </c>
      <c r="O191" s="530">
        <v>176.7010611699896</v>
      </c>
      <c r="P191" s="530">
        <v>131.29823514151997</v>
      </c>
      <c r="Q191" s="530">
        <v>91.314452741842118</v>
      </c>
      <c r="R191" s="530">
        <v>71.399581900502</v>
      </c>
      <c r="S191" s="530">
        <v>16.073092438314088</v>
      </c>
      <c r="T191" s="530">
        <v>1161.0945599988886</v>
      </c>
      <c r="U191" s="530" t="s">
        <v>61</v>
      </c>
    </row>
    <row r="192" spans="1:21" ht="13.8" x14ac:dyDescent="0.3">
      <c r="A192" s="530" t="str">
        <f t="shared" si="4"/>
        <v>Conwy.2014.Visitor Numbers.SFR</v>
      </c>
      <c r="B192" s="530" t="s">
        <v>219</v>
      </c>
      <c r="C192" s="530" t="str">
        <f t="shared" si="5"/>
        <v>2014.Visitor Numbers.SFR</v>
      </c>
      <c r="D192" s="530" t="s">
        <v>233</v>
      </c>
      <c r="E192" s="530" t="s">
        <v>172</v>
      </c>
      <c r="F192" s="530" t="s">
        <v>18</v>
      </c>
      <c r="G192" s="530" t="s">
        <v>18</v>
      </c>
      <c r="H192" s="530">
        <v>23.686363636363634</v>
      </c>
      <c r="I192" s="530">
        <v>9.4745454545454528</v>
      </c>
      <c r="J192" s="530">
        <v>10.527272727272727</v>
      </c>
      <c r="K192" s="530">
        <v>20.00181818181818</v>
      </c>
      <c r="L192" s="530">
        <v>15.790909090909091</v>
      </c>
      <c r="M192" s="530">
        <v>12.743263636363636</v>
      </c>
      <c r="N192" s="530">
        <v>17.369999999999997</v>
      </c>
      <c r="O192" s="530">
        <v>17.680554545454545</v>
      </c>
      <c r="P192" s="530">
        <v>10.911518181818183</v>
      </c>
      <c r="Q192" s="530">
        <v>11.053636363636361</v>
      </c>
      <c r="R192" s="530">
        <v>9.0797727272727258</v>
      </c>
      <c r="S192" s="530">
        <v>20.528181818181821</v>
      </c>
      <c r="T192" s="530">
        <v>178.84783636363639</v>
      </c>
      <c r="U192" s="530" t="s">
        <v>61</v>
      </c>
    </row>
    <row r="193" spans="1:21" ht="13.8" x14ac:dyDescent="0.3">
      <c r="A193" s="530" t="str">
        <f t="shared" si="4"/>
        <v>Conwy.2014.Visitor Numbers.Day Visitor</v>
      </c>
      <c r="B193" s="530" t="s">
        <v>219</v>
      </c>
      <c r="C193" s="530" t="str">
        <f t="shared" si="5"/>
        <v>2014.Visitor Numbers.Day Visitor</v>
      </c>
      <c r="D193" s="530" t="s">
        <v>233</v>
      </c>
      <c r="E193" s="530" t="s">
        <v>172</v>
      </c>
      <c r="F193" s="530" t="s">
        <v>71</v>
      </c>
      <c r="G193" s="530" t="s">
        <v>71</v>
      </c>
      <c r="H193" s="530">
        <v>56.515616745433221</v>
      </c>
      <c r="I193" s="530">
        <v>255.89858778523831</v>
      </c>
      <c r="J193" s="530">
        <v>272.27631915682372</v>
      </c>
      <c r="K193" s="530">
        <v>752.42321485454875</v>
      </c>
      <c r="L193" s="530">
        <v>858.20957215782812</v>
      </c>
      <c r="M193" s="530">
        <v>629.41129674093145</v>
      </c>
      <c r="N193" s="530">
        <v>997.14393066794446</v>
      </c>
      <c r="O193" s="530">
        <v>1283.5554422335281</v>
      </c>
      <c r="P193" s="530">
        <v>687.15564083839342</v>
      </c>
      <c r="Q193" s="530">
        <v>361.18533630283957</v>
      </c>
      <c r="R193" s="530">
        <v>93.864034152411435</v>
      </c>
      <c r="S193" s="530">
        <v>32.538894113655168</v>
      </c>
      <c r="T193" s="530">
        <v>6280.1778857495747</v>
      </c>
      <c r="U193" s="530" t="s">
        <v>61</v>
      </c>
    </row>
    <row r="194" spans="1:21" ht="13.8" x14ac:dyDescent="0.3">
      <c r="A194" s="530" t="str">
        <f t="shared" si="4"/>
        <v>Conwy.2014.Visitor Numbers.Total</v>
      </c>
      <c r="B194" s="530" t="s">
        <v>219</v>
      </c>
      <c r="C194" s="530" t="str">
        <f t="shared" si="5"/>
        <v>2014.Visitor Numbers.Total</v>
      </c>
      <c r="D194" s="530" t="s">
        <v>233</v>
      </c>
      <c r="E194" s="530" t="s">
        <v>172</v>
      </c>
      <c r="F194" s="530" t="s">
        <v>54</v>
      </c>
      <c r="G194" s="530" t="s">
        <v>54</v>
      </c>
      <c r="H194" s="530">
        <v>151.31082865760368</v>
      </c>
      <c r="I194" s="530">
        <v>381.49084644583661</v>
      </c>
      <c r="J194" s="530">
        <v>465.14103547857917</v>
      </c>
      <c r="K194" s="530">
        <v>981.41499683440975</v>
      </c>
      <c r="L194" s="530">
        <v>1133.5456238260699</v>
      </c>
      <c r="M194" s="530">
        <v>887.687998456076</v>
      </c>
      <c r="N194" s="530">
        <v>1299.8690743225022</v>
      </c>
      <c r="O194" s="530">
        <v>1613.3534375305746</v>
      </c>
      <c r="P194" s="530">
        <v>922.94266351888268</v>
      </c>
      <c r="Q194" s="530">
        <v>570.69624506044102</v>
      </c>
      <c r="R194" s="530">
        <v>261.42479154434494</v>
      </c>
      <c r="S194" s="530">
        <v>128.31707910982828</v>
      </c>
      <c r="T194" s="530">
        <v>8797.1946207851488</v>
      </c>
      <c r="U194" s="530" t="s">
        <v>61</v>
      </c>
    </row>
    <row r="195" spans="1:21" ht="13.8" x14ac:dyDescent="0.3">
      <c r="A195" s="530" t="str">
        <f t="shared" si="4"/>
        <v>Conwy.2014.Vehicle Days.Serviced Accommodation</v>
      </c>
      <c r="B195" s="530" t="s">
        <v>219</v>
      </c>
      <c r="C195" s="530" t="str">
        <f t="shared" si="5"/>
        <v>2014.Vehicle Days.Serviced Accommodation</v>
      </c>
      <c r="D195" s="530" t="s">
        <v>233</v>
      </c>
      <c r="E195" s="530" t="s">
        <v>21</v>
      </c>
      <c r="F195" s="530" t="s">
        <v>43</v>
      </c>
      <c r="G195" s="530" t="s">
        <v>43</v>
      </c>
      <c r="H195" s="530">
        <v>23.747199260501922</v>
      </c>
      <c r="I195" s="530">
        <v>49.801537212006416</v>
      </c>
      <c r="J195" s="530">
        <v>49.16639028622609</v>
      </c>
      <c r="K195" s="530">
        <v>48.166924863310129</v>
      </c>
      <c r="L195" s="530">
        <v>66.820659010238529</v>
      </c>
      <c r="M195" s="530">
        <v>59.3277689848073</v>
      </c>
      <c r="N195" s="530">
        <v>53.508031429944353</v>
      </c>
      <c r="O195" s="530">
        <v>61.883105787284705</v>
      </c>
      <c r="P195" s="530">
        <v>47.850396699464056</v>
      </c>
      <c r="Q195" s="530">
        <v>56.049178188879139</v>
      </c>
      <c r="R195" s="530">
        <v>46.127375550071974</v>
      </c>
      <c r="S195" s="530">
        <v>25.14288835477868</v>
      </c>
      <c r="T195" s="530">
        <v>587.59145562751337</v>
      </c>
      <c r="U195" s="530" t="s">
        <v>61</v>
      </c>
    </row>
    <row r="196" spans="1:21" ht="13.8" x14ac:dyDescent="0.3">
      <c r="A196" s="530" t="str">
        <f t="shared" si="4"/>
        <v>Conwy.2014.Vehicle Days.Non-Serviced Accommodation</v>
      </c>
      <c r="B196" s="530" t="s">
        <v>219</v>
      </c>
      <c r="C196" s="530" t="str">
        <f t="shared" si="5"/>
        <v>2014.Vehicle Days.Non-Serviced Accommodation</v>
      </c>
      <c r="D196" s="530" t="s">
        <v>233</v>
      </c>
      <c r="E196" s="530" t="s">
        <v>21</v>
      </c>
      <c r="F196" s="530" t="s">
        <v>48</v>
      </c>
      <c r="G196" s="530" t="s">
        <v>48</v>
      </c>
      <c r="H196" s="530">
        <v>11.099424125989056</v>
      </c>
      <c r="I196" s="530">
        <v>23.995456876319142</v>
      </c>
      <c r="J196" s="530">
        <v>142.61152998001927</v>
      </c>
      <c r="K196" s="530">
        <v>172.88794960168423</v>
      </c>
      <c r="L196" s="530">
        <v>235.70202031850567</v>
      </c>
      <c r="M196" s="530">
        <v>226.11626004074802</v>
      </c>
      <c r="N196" s="530">
        <v>296.74783446629277</v>
      </c>
      <c r="O196" s="530">
        <v>338.37027583418057</v>
      </c>
      <c r="P196" s="530">
        <v>232.13796486588529</v>
      </c>
      <c r="Q196" s="530">
        <v>160.01683210194886</v>
      </c>
      <c r="R196" s="530">
        <v>82.20130755072303</v>
      </c>
      <c r="S196" s="530">
        <v>20.770376525417731</v>
      </c>
      <c r="T196" s="530">
        <v>1942.6572322877137</v>
      </c>
      <c r="U196" s="530" t="s">
        <v>61</v>
      </c>
    </row>
    <row r="197" spans="1:21" ht="13.8" x14ac:dyDescent="0.3">
      <c r="A197" s="530" t="str">
        <f t="shared" si="4"/>
        <v>Conwy.2014.Vehicle Days.SFR</v>
      </c>
      <c r="B197" s="530" t="s">
        <v>219</v>
      </c>
      <c r="C197" s="530" t="str">
        <f t="shared" si="5"/>
        <v>2014.Vehicle Days.SFR</v>
      </c>
      <c r="D197" s="530" t="s">
        <v>233</v>
      </c>
      <c r="E197" s="530" t="s">
        <v>21</v>
      </c>
      <c r="F197" s="530" t="s">
        <v>18</v>
      </c>
      <c r="G197" s="530" t="s">
        <v>18</v>
      </c>
      <c r="H197" s="530">
        <v>18.554318181818182</v>
      </c>
      <c r="I197" s="530">
        <v>6.2342509090909077</v>
      </c>
      <c r="J197" s="530">
        <v>7.091872727272726</v>
      </c>
      <c r="K197" s="530">
        <v>16.921538181818178</v>
      </c>
      <c r="L197" s="530">
        <v>10.885199999999999</v>
      </c>
      <c r="M197" s="530">
        <v>8.3850674727272736</v>
      </c>
      <c r="N197" s="530">
        <v>13.606499999999999</v>
      </c>
      <c r="O197" s="530">
        <v>14.403758436363633</v>
      </c>
      <c r="P197" s="530">
        <v>7.419104929090909</v>
      </c>
      <c r="Q197" s="530">
        <v>7.411831636363635</v>
      </c>
      <c r="R197" s="530">
        <v>5.7753407727272714</v>
      </c>
      <c r="S197" s="530">
        <v>16.723625454545456</v>
      </c>
      <c r="T197" s="530">
        <v>133.41240870181815</v>
      </c>
      <c r="U197" s="530" t="s">
        <v>61</v>
      </c>
    </row>
    <row r="198" spans="1:21" ht="13.8" x14ac:dyDescent="0.3">
      <c r="A198" s="530" t="str">
        <f t="shared" si="4"/>
        <v>Conwy.2014.Vehicle Days.Day Visitor</v>
      </c>
      <c r="B198" s="530" t="s">
        <v>219</v>
      </c>
      <c r="C198" s="530" t="str">
        <f t="shared" si="5"/>
        <v>2014.Vehicle Days.Day Visitor</v>
      </c>
      <c r="D198" s="530" t="s">
        <v>233</v>
      </c>
      <c r="E198" s="530" t="s">
        <v>21</v>
      </c>
      <c r="F198" s="530" t="s">
        <v>71</v>
      </c>
      <c r="G198" s="530" t="s">
        <v>71</v>
      </c>
      <c r="H198" s="530">
        <v>12.433435683995308</v>
      </c>
      <c r="I198" s="530">
        <v>64.340216357431345</v>
      </c>
      <c r="J198" s="530">
        <v>68.458045959429967</v>
      </c>
      <c r="K198" s="530">
        <v>165.53310726800072</v>
      </c>
      <c r="L198" s="530">
        <v>188.80610587472219</v>
      </c>
      <c r="M198" s="530">
        <v>158.25198318057707</v>
      </c>
      <c r="N198" s="530">
        <v>219.37166474694777</v>
      </c>
      <c r="O198" s="530">
        <v>282.3821972913762</v>
      </c>
      <c r="P198" s="530">
        <v>151.17424098444656</v>
      </c>
      <c r="Q198" s="530">
        <v>90.812313127571088</v>
      </c>
      <c r="R198" s="530">
        <v>23.600100015463447</v>
      </c>
      <c r="S198" s="530">
        <v>7.1585567050041368</v>
      </c>
      <c r="T198" s="530">
        <v>1432.321967194966</v>
      </c>
      <c r="U198" s="530" t="s">
        <v>61</v>
      </c>
    </row>
    <row r="199" spans="1:21" ht="13.8" x14ac:dyDescent="0.3">
      <c r="A199" s="530" t="str">
        <f t="shared" si="4"/>
        <v>Conwy.2014.Vehicle Days.Total</v>
      </c>
      <c r="B199" s="530" t="s">
        <v>219</v>
      </c>
      <c r="C199" s="530" t="str">
        <f t="shared" si="5"/>
        <v>2014.Vehicle Days.Total</v>
      </c>
      <c r="D199" s="530" t="s">
        <v>233</v>
      </c>
      <c r="E199" s="530" t="s">
        <v>21</v>
      </c>
      <c r="F199" s="530" t="s">
        <v>54</v>
      </c>
      <c r="G199" s="530" t="s">
        <v>54</v>
      </c>
      <c r="H199" s="530">
        <v>65.834377252304463</v>
      </c>
      <c r="I199" s="530">
        <v>144.37146135484781</v>
      </c>
      <c r="J199" s="530">
        <v>267.32783895294801</v>
      </c>
      <c r="K199" s="530">
        <v>403.50951991481327</v>
      </c>
      <c r="L199" s="530">
        <v>502.21398520346634</v>
      </c>
      <c r="M199" s="530">
        <v>452.08107967885962</v>
      </c>
      <c r="N199" s="530">
        <v>583.23403064318495</v>
      </c>
      <c r="O199" s="530">
        <v>697.0393373492052</v>
      </c>
      <c r="P199" s="530">
        <v>438.58170747888681</v>
      </c>
      <c r="Q199" s="530">
        <v>314.29015505476275</v>
      </c>
      <c r="R199" s="530">
        <v>157.70412388898572</v>
      </c>
      <c r="S199" s="530">
        <v>69.795447039745994</v>
      </c>
      <c r="T199" s="530">
        <v>4095.9830638120106</v>
      </c>
      <c r="U199" s="530" t="s">
        <v>61</v>
      </c>
    </row>
    <row r="200" spans="1:21" ht="13.8" x14ac:dyDescent="0.3">
      <c r="A200" s="530" t="str">
        <f t="shared" si="4"/>
        <v>Conwy.2014.Vehicle Numbers.Serviced Accommodation</v>
      </c>
      <c r="B200" s="530" t="s">
        <v>219</v>
      </c>
      <c r="C200" s="530" t="str">
        <f t="shared" si="5"/>
        <v>2014.Vehicle Numbers.Serviced Accommodation</v>
      </c>
      <c r="D200" s="530" t="s">
        <v>233</v>
      </c>
      <c r="E200" s="530" t="s">
        <v>22</v>
      </c>
      <c r="F200" s="530" t="s">
        <v>43</v>
      </c>
      <c r="G200" s="530" t="s">
        <v>43</v>
      </c>
      <c r="H200" s="530">
        <v>15.175496215792259</v>
      </c>
      <c r="I200" s="530">
        <v>33.538776885450929</v>
      </c>
      <c r="J200" s="530">
        <v>23.796083321706625</v>
      </c>
      <c r="K200" s="530">
        <v>26.450961824839759</v>
      </c>
      <c r="L200" s="530">
        <v>35.460627593617751</v>
      </c>
      <c r="M200" s="530">
        <v>33.264730316707883</v>
      </c>
      <c r="N200" s="530">
        <v>30.839681444225079</v>
      </c>
      <c r="O200" s="530">
        <v>35.107216453286675</v>
      </c>
      <c r="P200" s="530">
        <v>24.236078892831248</v>
      </c>
      <c r="Q200" s="530">
        <v>32.625275211553351</v>
      </c>
      <c r="R200" s="530">
        <v>26.475409231153819</v>
      </c>
      <c r="S200" s="530">
        <v>15.34650747459618</v>
      </c>
      <c r="T200" s="530">
        <v>332.31684486576154</v>
      </c>
      <c r="U200" s="530" t="s">
        <v>61</v>
      </c>
    </row>
    <row r="201" spans="1:21" ht="13.8" x14ac:dyDescent="0.3">
      <c r="A201" s="530" t="str">
        <f t="shared" ref="A201:A264" si="6">B201&amp;"."&amp;D201&amp;"."&amp;E201&amp;"."&amp;F201</f>
        <v>Conwy.2014.Vehicle Numbers.Non-Serviced Accommodation</v>
      </c>
      <c r="B201" s="530" t="s">
        <v>219</v>
      </c>
      <c r="C201" s="530" t="str">
        <f t="shared" ref="C201:C264" si="7">D201&amp;"."&amp;E201&amp;"."&amp;F201</f>
        <v>2014.Vehicle Numbers.Non-Serviced Accommodation</v>
      </c>
      <c r="D201" s="530" t="s">
        <v>233</v>
      </c>
      <c r="E201" s="530" t="s">
        <v>22</v>
      </c>
      <c r="F201" s="530" t="s">
        <v>48</v>
      </c>
      <c r="G201" s="530" t="s">
        <v>48</v>
      </c>
      <c r="H201" s="530">
        <v>3.2645365076438395</v>
      </c>
      <c r="I201" s="530">
        <v>5.9988642190797856</v>
      </c>
      <c r="J201" s="530">
        <v>29.710735412504011</v>
      </c>
      <c r="K201" s="530">
        <v>27.013742125263164</v>
      </c>
      <c r="L201" s="530">
        <v>34.159713089638501</v>
      </c>
      <c r="M201" s="530">
        <v>32.302322862964004</v>
      </c>
      <c r="N201" s="530">
        <v>41.795469643139825</v>
      </c>
      <c r="O201" s="530">
        <v>44.522404715023754</v>
      </c>
      <c r="P201" s="530">
        <v>33.643183313896415</v>
      </c>
      <c r="Q201" s="530">
        <v>22.859547443135547</v>
      </c>
      <c r="R201" s="530">
        <v>18.266957233494008</v>
      </c>
      <c r="S201" s="530">
        <v>3.7089958081103092</v>
      </c>
      <c r="T201" s="530">
        <v>297.2464723738932</v>
      </c>
      <c r="U201" s="530" t="s">
        <v>61</v>
      </c>
    </row>
    <row r="202" spans="1:21" ht="13.8" x14ac:dyDescent="0.3">
      <c r="A202" s="530" t="str">
        <f t="shared" si="6"/>
        <v>Conwy.2014.Vehicle Numbers.SFR</v>
      </c>
      <c r="B202" s="530" t="s">
        <v>219</v>
      </c>
      <c r="C202" s="530" t="str">
        <f t="shared" si="7"/>
        <v>2014.Vehicle Numbers.SFR</v>
      </c>
      <c r="D202" s="530" t="s">
        <v>233</v>
      </c>
      <c r="E202" s="530" t="s">
        <v>22</v>
      </c>
      <c r="F202" s="530" t="s">
        <v>18</v>
      </c>
      <c r="G202" s="530" t="s">
        <v>18</v>
      </c>
      <c r="H202" s="530">
        <v>7.4217272727272716</v>
      </c>
      <c r="I202" s="530">
        <v>2.9686909090909084</v>
      </c>
      <c r="J202" s="530">
        <v>3.2985454545454544</v>
      </c>
      <c r="K202" s="530">
        <v>6.2672363636363633</v>
      </c>
      <c r="L202" s="530">
        <v>4.9478181818181817</v>
      </c>
      <c r="M202" s="530">
        <v>3.9928892727272722</v>
      </c>
      <c r="N202" s="530">
        <v>5.4425999999999988</v>
      </c>
      <c r="O202" s="530">
        <v>5.5399070909090904</v>
      </c>
      <c r="P202" s="530">
        <v>3.4189423636363636</v>
      </c>
      <c r="Q202" s="530">
        <v>3.4634727272727264</v>
      </c>
      <c r="R202" s="530">
        <v>2.8449954545454537</v>
      </c>
      <c r="S202" s="530">
        <v>6.4321636363636365</v>
      </c>
      <c r="T202" s="530">
        <v>56.038988727272724</v>
      </c>
      <c r="U202" s="530" t="s">
        <v>61</v>
      </c>
    </row>
    <row r="203" spans="1:21" ht="13.8" x14ac:dyDescent="0.3">
      <c r="A203" s="530" t="str">
        <f t="shared" si="6"/>
        <v>Conwy.2014.Vehicle Numbers.Day Visitor</v>
      </c>
      <c r="B203" s="530" t="s">
        <v>219</v>
      </c>
      <c r="C203" s="530" t="str">
        <f t="shared" si="7"/>
        <v>2014.Vehicle Numbers.Day Visitor</v>
      </c>
      <c r="D203" s="530" t="s">
        <v>233</v>
      </c>
      <c r="E203" s="530" t="s">
        <v>22</v>
      </c>
      <c r="F203" s="530" t="s">
        <v>71</v>
      </c>
      <c r="G203" s="530" t="s">
        <v>71</v>
      </c>
      <c r="H203" s="530">
        <v>12.433435683995308</v>
      </c>
      <c r="I203" s="530">
        <v>64.340216357431345</v>
      </c>
      <c r="J203" s="530">
        <v>68.458045959429967</v>
      </c>
      <c r="K203" s="530">
        <v>165.53310726800072</v>
      </c>
      <c r="L203" s="530">
        <v>188.80610587472219</v>
      </c>
      <c r="M203" s="530">
        <v>158.25198318057707</v>
      </c>
      <c r="N203" s="530">
        <v>219.37166474694777</v>
      </c>
      <c r="O203" s="530">
        <v>282.3821972913762</v>
      </c>
      <c r="P203" s="530">
        <v>151.17424098444656</v>
      </c>
      <c r="Q203" s="530">
        <v>90.812313127571088</v>
      </c>
      <c r="R203" s="530">
        <v>23.600100015463447</v>
      </c>
      <c r="S203" s="530">
        <v>7.1585567050041368</v>
      </c>
      <c r="T203" s="530">
        <v>1432.321967194966</v>
      </c>
      <c r="U203" s="530" t="s">
        <v>61</v>
      </c>
    </row>
    <row r="204" spans="1:21" ht="13.8" x14ac:dyDescent="0.3">
      <c r="A204" s="530" t="str">
        <f t="shared" si="6"/>
        <v>Conwy.2014.Vehicle Numbers.Total</v>
      </c>
      <c r="B204" s="530" t="s">
        <v>219</v>
      </c>
      <c r="C204" s="530" t="str">
        <f t="shared" si="7"/>
        <v>2014.Vehicle Numbers.Total</v>
      </c>
      <c r="D204" s="530" t="s">
        <v>233</v>
      </c>
      <c r="E204" s="530" t="s">
        <v>22</v>
      </c>
      <c r="F204" s="530" t="s">
        <v>54</v>
      </c>
      <c r="G204" s="530" t="s">
        <v>54</v>
      </c>
      <c r="H204" s="530">
        <v>38.295195680158677</v>
      </c>
      <c r="I204" s="530">
        <v>106.84654837105296</v>
      </c>
      <c r="J204" s="530">
        <v>125.26341014818607</v>
      </c>
      <c r="K204" s="530">
        <v>225.26504758174002</v>
      </c>
      <c r="L204" s="530">
        <v>263.37426473979662</v>
      </c>
      <c r="M204" s="530">
        <v>227.81192563297623</v>
      </c>
      <c r="N204" s="530">
        <v>297.44941583431267</v>
      </c>
      <c r="O204" s="530">
        <v>367.55172555059573</v>
      </c>
      <c r="P204" s="530">
        <v>212.47244555481058</v>
      </c>
      <c r="Q204" s="530">
        <v>149.76060850953272</v>
      </c>
      <c r="R204" s="530">
        <v>71.187461934656739</v>
      </c>
      <c r="S204" s="530">
        <v>32.64622362407426</v>
      </c>
      <c r="T204" s="530">
        <v>2117.9242731618929</v>
      </c>
      <c r="U204" s="530" t="s">
        <v>61</v>
      </c>
    </row>
    <row r="205" spans="1:21" ht="13.8" x14ac:dyDescent="0.3">
      <c r="A205" s="530" t="str">
        <f t="shared" si="6"/>
        <v>Conwy.2014.Accommodation.Serviced Accommodation</v>
      </c>
      <c r="B205" s="530" t="s">
        <v>219</v>
      </c>
      <c r="C205" s="530" t="str">
        <f t="shared" si="7"/>
        <v>2014.Accommodation.Serviced Accommodation</v>
      </c>
      <c r="D205" s="530" t="s">
        <v>233</v>
      </c>
      <c r="E205" s="530" t="s">
        <v>23</v>
      </c>
      <c r="F205" s="530" t="s">
        <v>43</v>
      </c>
      <c r="G205" s="530" t="s">
        <v>43</v>
      </c>
      <c r="H205" s="530">
        <v>9187</v>
      </c>
      <c r="I205" s="530">
        <v>10064</v>
      </c>
      <c r="J205" s="530">
        <v>11196</v>
      </c>
      <c r="K205" s="530">
        <v>11680</v>
      </c>
      <c r="L205" s="530">
        <v>11698</v>
      </c>
      <c r="M205" s="530">
        <v>11710</v>
      </c>
      <c r="N205" s="530">
        <v>11710</v>
      </c>
      <c r="O205" s="530">
        <v>11710</v>
      </c>
      <c r="P205" s="530">
        <v>11704</v>
      </c>
      <c r="Q205" s="530">
        <v>11520</v>
      </c>
      <c r="R205" s="530">
        <v>11010</v>
      </c>
      <c r="S205" s="530">
        <v>9990</v>
      </c>
      <c r="T205" s="530">
        <v>11710</v>
      </c>
      <c r="U205" s="530" t="s">
        <v>58</v>
      </c>
    </row>
    <row r="206" spans="1:21" ht="13.8" x14ac:dyDescent="0.3">
      <c r="A206" s="530" t="str">
        <f t="shared" si="6"/>
        <v>Conwy.2014.Accommodation.Non-Serviced Accommodation</v>
      </c>
      <c r="B206" s="530" t="s">
        <v>219</v>
      </c>
      <c r="C206" s="530" t="str">
        <f t="shared" si="7"/>
        <v>2014.Accommodation.Non-Serviced Accommodation</v>
      </c>
      <c r="D206" s="530" t="s">
        <v>233</v>
      </c>
      <c r="E206" s="530" t="s">
        <v>23</v>
      </c>
      <c r="F206" s="530" t="s">
        <v>48</v>
      </c>
      <c r="G206" s="530" t="s">
        <v>48</v>
      </c>
      <c r="H206" s="530">
        <v>5441</v>
      </c>
      <c r="I206" s="530">
        <v>5861</v>
      </c>
      <c r="J206" s="530">
        <v>41452</v>
      </c>
      <c r="K206" s="530">
        <v>48868</v>
      </c>
      <c r="L206" s="530">
        <v>49375</v>
      </c>
      <c r="M206" s="530">
        <v>49375</v>
      </c>
      <c r="N206" s="530">
        <v>49380</v>
      </c>
      <c r="O206" s="530">
        <v>49380</v>
      </c>
      <c r="P206" s="530">
        <v>49375</v>
      </c>
      <c r="Q206" s="530">
        <v>49101</v>
      </c>
      <c r="R206" s="530">
        <v>30309</v>
      </c>
      <c r="S206" s="530">
        <v>8039</v>
      </c>
      <c r="T206" s="530">
        <v>49380</v>
      </c>
      <c r="U206" s="530" t="s">
        <v>58</v>
      </c>
    </row>
    <row r="207" spans="1:21" ht="13.8" x14ac:dyDescent="0.3">
      <c r="A207" s="530" t="str">
        <f t="shared" si="6"/>
        <v>Conwy.2014.Accommodation.Total</v>
      </c>
      <c r="B207" s="530" t="s">
        <v>219</v>
      </c>
      <c r="C207" s="530" t="str">
        <f t="shared" si="7"/>
        <v>2014.Accommodation.Total</v>
      </c>
      <c r="D207" s="530" t="s">
        <v>233</v>
      </c>
      <c r="E207" s="530" t="s">
        <v>23</v>
      </c>
      <c r="F207" s="530" t="s">
        <v>54</v>
      </c>
      <c r="G207" s="530" t="s">
        <v>54</v>
      </c>
      <c r="H207" s="530">
        <v>14628</v>
      </c>
      <c r="I207" s="530">
        <v>15925</v>
      </c>
      <c r="J207" s="530">
        <v>52648</v>
      </c>
      <c r="K207" s="530">
        <v>60548</v>
      </c>
      <c r="L207" s="530">
        <v>61073</v>
      </c>
      <c r="M207" s="530">
        <v>61085</v>
      </c>
      <c r="N207" s="530">
        <v>61090</v>
      </c>
      <c r="O207" s="530">
        <v>61090</v>
      </c>
      <c r="P207" s="530">
        <v>61079</v>
      </c>
      <c r="Q207" s="530">
        <v>60621</v>
      </c>
      <c r="R207" s="530">
        <v>41319</v>
      </c>
      <c r="S207" s="530">
        <v>18029</v>
      </c>
      <c r="T207" s="530">
        <v>61090</v>
      </c>
      <c r="U207" s="530" t="s">
        <v>58</v>
      </c>
    </row>
    <row r="208" spans="1:21" ht="13.8" x14ac:dyDescent="0.3">
      <c r="A208" s="530" t="str">
        <f t="shared" si="6"/>
        <v>Conwy.2014.Economic Impact.Total</v>
      </c>
      <c r="B208" s="530" t="s">
        <v>219</v>
      </c>
      <c r="C208" s="530" t="str">
        <f t="shared" si="7"/>
        <v>2014.Economic Impact.Total</v>
      </c>
      <c r="D208" s="530" t="s">
        <v>233</v>
      </c>
      <c r="E208" s="530" t="s">
        <v>17</v>
      </c>
      <c r="F208" s="530" t="s">
        <v>54</v>
      </c>
      <c r="G208" s="530" t="s">
        <v>54</v>
      </c>
      <c r="H208" s="530">
        <v>14273.312151009273</v>
      </c>
      <c r="I208" s="530">
        <v>28101.657610011211</v>
      </c>
      <c r="J208" s="530">
        <v>45512.780179593472</v>
      </c>
      <c r="K208" s="530">
        <v>75810.353115336387</v>
      </c>
      <c r="L208" s="530">
        <v>93153.329872683709</v>
      </c>
      <c r="M208" s="530">
        <v>79163.494064606755</v>
      </c>
      <c r="N208" s="530">
        <v>112827.34028723142</v>
      </c>
      <c r="O208" s="530">
        <v>137033.12448852306</v>
      </c>
      <c r="P208" s="530">
        <v>87830.47457837456</v>
      </c>
      <c r="Q208" s="530">
        <v>55159.84304560264</v>
      </c>
      <c r="R208" s="530">
        <v>29748.513489262303</v>
      </c>
      <c r="S208" s="530">
        <v>15934.256288908451</v>
      </c>
      <c r="T208" s="530">
        <v>774548.47917114326</v>
      </c>
      <c r="U208" s="530" t="s">
        <v>57</v>
      </c>
    </row>
    <row r="209" spans="1:21" ht="13.8" x14ac:dyDescent="0.3">
      <c r="A209" s="530" t="str">
        <f t="shared" si="6"/>
        <v>Conwy.2015.Economic Impact.Indirect Expenditure</v>
      </c>
      <c r="B209" s="530" t="s">
        <v>219</v>
      </c>
      <c r="C209" s="530" t="str">
        <f t="shared" si="7"/>
        <v>2015.Economic Impact.Indirect Expenditure</v>
      </c>
      <c r="D209" s="530" t="s">
        <v>234</v>
      </c>
      <c r="E209" s="530" t="s">
        <v>17</v>
      </c>
      <c r="F209" s="530" t="s">
        <v>45</v>
      </c>
      <c r="G209" s="530" t="s">
        <v>45</v>
      </c>
      <c r="H209" s="530">
        <v>3537.5085190203495</v>
      </c>
      <c r="I209" s="530">
        <v>7170.7805211076648</v>
      </c>
      <c r="J209" s="530">
        <v>11510.397006970112</v>
      </c>
      <c r="K209" s="530">
        <v>19820.99260939876</v>
      </c>
      <c r="L209" s="530">
        <v>24383.939088402418</v>
      </c>
      <c r="M209" s="530">
        <v>20512.462338283789</v>
      </c>
      <c r="N209" s="530">
        <v>31079.967297627154</v>
      </c>
      <c r="O209" s="530">
        <v>36661.288369852853</v>
      </c>
      <c r="P209" s="530">
        <v>22599.489524993183</v>
      </c>
      <c r="Q209" s="530">
        <v>14347.240462129645</v>
      </c>
      <c r="R209" s="530">
        <v>7209.5054101702117</v>
      </c>
      <c r="S209" s="530">
        <v>3494.2695943563267</v>
      </c>
      <c r="T209" s="530">
        <v>202327.84074231246</v>
      </c>
      <c r="U209" s="530" t="s">
        <v>57</v>
      </c>
    </row>
    <row r="210" spans="1:21" ht="13.8" x14ac:dyDescent="0.3">
      <c r="A210" s="530" t="str">
        <f t="shared" si="6"/>
        <v>Conwy.2015.Economic Impact.Direct Revenue</v>
      </c>
      <c r="B210" s="530" t="s">
        <v>219</v>
      </c>
      <c r="C210" s="530" t="str">
        <f t="shared" si="7"/>
        <v>2015.Economic Impact.Direct Revenue</v>
      </c>
      <c r="D210" s="530" t="s">
        <v>234</v>
      </c>
      <c r="E210" s="530" t="s">
        <v>17</v>
      </c>
      <c r="F210" s="530" t="s">
        <v>46</v>
      </c>
      <c r="G210" s="530" t="s">
        <v>46</v>
      </c>
      <c r="H210" s="530">
        <v>9330.3611096940804</v>
      </c>
      <c r="I210" s="530">
        <v>18856.322623806274</v>
      </c>
      <c r="J210" s="530">
        <v>29482.995587581892</v>
      </c>
      <c r="K210" s="530">
        <v>50001.25337293584</v>
      </c>
      <c r="L210" s="530">
        <v>61890.915676150253</v>
      </c>
      <c r="M210" s="530">
        <v>52171.803265135983</v>
      </c>
      <c r="N210" s="530">
        <v>78285.5946853325</v>
      </c>
      <c r="O210" s="530">
        <v>91988.51050141672</v>
      </c>
      <c r="P210" s="530">
        <v>57077.115371828972</v>
      </c>
      <c r="Q210" s="530">
        <v>36702.703374264282</v>
      </c>
      <c r="R210" s="530">
        <v>19210.536749272764</v>
      </c>
      <c r="S210" s="530">
        <v>9540.660874731615</v>
      </c>
      <c r="T210" s="530">
        <v>514538.77319215122</v>
      </c>
      <c r="U210" s="530" t="s">
        <v>57</v>
      </c>
    </row>
    <row r="211" spans="1:21" ht="13.8" x14ac:dyDescent="0.3">
      <c r="A211" s="530" t="str">
        <f t="shared" si="6"/>
        <v>Conwy.2015.Economic Impact.VAT</v>
      </c>
      <c r="B211" s="530" t="s">
        <v>219</v>
      </c>
      <c r="C211" s="530" t="str">
        <f t="shared" si="7"/>
        <v>2015.Economic Impact.VAT</v>
      </c>
      <c r="D211" s="530" t="s">
        <v>234</v>
      </c>
      <c r="E211" s="530" t="s">
        <v>17</v>
      </c>
      <c r="F211" s="530" t="s">
        <v>47</v>
      </c>
      <c r="G211" s="530" t="s">
        <v>47</v>
      </c>
      <c r="H211" s="530">
        <v>1866.0722219388163</v>
      </c>
      <c r="I211" s="530">
        <v>3771.2645247612545</v>
      </c>
      <c r="J211" s="530">
        <v>5896.5991175163799</v>
      </c>
      <c r="K211" s="530">
        <v>10000.250674587169</v>
      </c>
      <c r="L211" s="530">
        <v>12378.183135230051</v>
      </c>
      <c r="M211" s="530">
        <v>10434.360653027197</v>
      </c>
      <c r="N211" s="530">
        <v>15657.118937066502</v>
      </c>
      <c r="O211" s="530">
        <v>18397.702100283346</v>
      </c>
      <c r="P211" s="530">
        <v>11415.423074365795</v>
      </c>
      <c r="Q211" s="530">
        <v>7340.5406748528567</v>
      </c>
      <c r="R211" s="530">
        <v>3842.1073498545534</v>
      </c>
      <c r="S211" s="530">
        <v>1908.1321749463232</v>
      </c>
      <c r="T211" s="530">
        <v>102907.75463843025</v>
      </c>
      <c r="U211" s="530" t="s">
        <v>57</v>
      </c>
    </row>
    <row r="212" spans="1:21" ht="13.8" x14ac:dyDescent="0.3">
      <c r="A212" s="530" t="str">
        <f t="shared" si="6"/>
        <v>Conwy.2015.Economic Impact.Serviced Accommodation</v>
      </c>
      <c r="B212" s="530" t="s">
        <v>219</v>
      </c>
      <c r="C212" s="530" t="str">
        <f t="shared" si="7"/>
        <v>2015.Economic Impact.Serviced Accommodation</v>
      </c>
      <c r="D212" s="530" t="s">
        <v>234</v>
      </c>
      <c r="E212" s="530" t="s">
        <v>17</v>
      </c>
      <c r="F212" s="530" t="s">
        <v>43</v>
      </c>
      <c r="G212" s="530" t="s">
        <v>43</v>
      </c>
      <c r="H212" s="530">
        <v>7244.2836553384413</v>
      </c>
      <c r="I212" s="530">
        <v>13136.647843020048</v>
      </c>
      <c r="J212" s="530">
        <v>11726.169150729009</v>
      </c>
      <c r="K212" s="530">
        <v>15455.164485823763</v>
      </c>
      <c r="L212" s="530">
        <v>21324.765530331442</v>
      </c>
      <c r="M212" s="530">
        <v>18084.757608557156</v>
      </c>
      <c r="N212" s="530">
        <v>23965.264976417748</v>
      </c>
      <c r="O212" s="530">
        <v>25967.740263046471</v>
      </c>
      <c r="P212" s="530">
        <v>19660.495903302632</v>
      </c>
      <c r="Q212" s="530">
        <v>15415.053904056065</v>
      </c>
      <c r="R212" s="530">
        <v>12936.498557349434</v>
      </c>
      <c r="S212" s="530">
        <v>8477.5009641950528</v>
      </c>
      <c r="T212" s="530">
        <v>193394.34284216724</v>
      </c>
      <c r="U212" s="530" t="s">
        <v>57</v>
      </c>
    </row>
    <row r="213" spans="1:21" ht="13.8" x14ac:dyDescent="0.3">
      <c r="A213" s="530" t="str">
        <f t="shared" si="6"/>
        <v>Conwy.2015.Economic Impact.Non-Serviced Accommodation</v>
      </c>
      <c r="B213" s="530" t="s">
        <v>219</v>
      </c>
      <c r="C213" s="530" t="str">
        <f t="shared" si="7"/>
        <v>2015.Economic Impact.Non-Serviced Accommodation</v>
      </c>
      <c r="D213" s="530" t="s">
        <v>234</v>
      </c>
      <c r="E213" s="530" t="s">
        <v>17</v>
      </c>
      <c r="F213" s="530" t="s">
        <v>48</v>
      </c>
      <c r="G213" s="530" t="s">
        <v>48</v>
      </c>
      <c r="H213" s="530">
        <v>2944.1310494991299</v>
      </c>
      <c r="I213" s="530">
        <v>3589.6515468403554</v>
      </c>
      <c r="J213" s="530">
        <v>21806.335692486497</v>
      </c>
      <c r="K213" s="530">
        <v>28071.855302548953</v>
      </c>
      <c r="L213" s="530">
        <v>36501.345183698977</v>
      </c>
      <c r="M213" s="530">
        <v>34954.881407715344</v>
      </c>
      <c r="N213" s="530">
        <v>51658.264381605819</v>
      </c>
      <c r="O213" s="530">
        <v>59256.153272647491</v>
      </c>
      <c r="P213" s="530">
        <v>37910.207246780868</v>
      </c>
      <c r="Q213" s="530">
        <v>25291.957364070913</v>
      </c>
      <c r="R213" s="530">
        <v>12387.285125335617</v>
      </c>
      <c r="S213" s="530">
        <v>3225.5387307942033</v>
      </c>
      <c r="T213" s="530">
        <v>317597.60630402423</v>
      </c>
      <c r="U213" s="530" t="s">
        <v>57</v>
      </c>
    </row>
    <row r="214" spans="1:21" ht="13.8" x14ac:dyDescent="0.3">
      <c r="A214" s="530" t="str">
        <f t="shared" si="6"/>
        <v>Conwy.2015.Economic Impact.SFR</v>
      </c>
      <c r="B214" s="530" t="s">
        <v>219</v>
      </c>
      <c r="C214" s="530" t="str">
        <f t="shared" si="7"/>
        <v>2015.Economic Impact.SFR</v>
      </c>
      <c r="D214" s="530" t="s">
        <v>234</v>
      </c>
      <c r="E214" s="530" t="s">
        <v>17</v>
      </c>
      <c r="F214" s="530" t="s">
        <v>18</v>
      </c>
      <c r="G214" s="530" t="s">
        <v>18</v>
      </c>
      <c r="H214" s="530">
        <v>1880.6438656766693</v>
      </c>
      <c r="I214" s="530">
        <v>631.8963388673609</v>
      </c>
      <c r="J214" s="530">
        <v>718.8238775475271</v>
      </c>
      <c r="K214" s="530">
        <v>1715.1472054971225</v>
      </c>
      <c r="L214" s="530">
        <v>1103.311067863646</v>
      </c>
      <c r="M214" s="530">
        <v>849.90057577660048</v>
      </c>
      <c r="N214" s="530">
        <v>1379.1388348295577</v>
      </c>
      <c r="O214" s="530">
        <v>1459.9480121333891</v>
      </c>
      <c r="P214" s="530">
        <v>751.9917486043189</v>
      </c>
      <c r="Q214" s="530">
        <v>751.25453620897372</v>
      </c>
      <c r="R214" s="530">
        <v>585.38174725629131</v>
      </c>
      <c r="S214" s="530">
        <v>1695.0870042632382</v>
      </c>
      <c r="T214" s="530">
        <v>13522.524814524695</v>
      </c>
      <c r="U214" s="530" t="s">
        <v>57</v>
      </c>
    </row>
    <row r="215" spans="1:21" ht="13.8" x14ac:dyDescent="0.3">
      <c r="A215" s="530" t="str">
        <f t="shared" si="6"/>
        <v>Conwy.2015.Economic Impact.Day Visitor</v>
      </c>
      <c r="B215" s="530" t="s">
        <v>219</v>
      </c>
      <c r="C215" s="530" t="str">
        <f t="shared" si="7"/>
        <v>2015.Economic Impact.Day Visitor</v>
      </c>
      <c r="D215" s="530" t="s">
        <v>234</v>
      </c>
      <c r="E215" s="530" t="s">
        <v>17</v>
      </c>
      <c r="F215" s="530" t="s">
        <v>71</v>
      </c>
      <c r="G215" s="530" t="s">
        <v>71</v>
      </c>
      <c r="H215" s="530">
        <v>2664.8832801390054</v>
      </c>
      <c r="I215" s="530">
        <v>12440.17194094743</v>
      </c>
      <c r="J215" s="530">
        <v>12638.662991305353</v>
      </c>
      <c r="K215" s="530">
        <v>34580.329663051933</v>
      </c>
      <c r="L215" s="530">
        <v>39723.616117888661</v>
      </c>
      <c r="M215" s="530">
        <v>29229.08666439787</v>
      </c>
      <c r="N215" s="530">
        <v>48020.012727173016</v>
      </c>
      <c r="O215" s="530">
        <v>60363.659423725563</v>
      </c>
      <c r="P215" s="530">
        <v>32769.333072500136</v>
      </c>
      <c r="Q215" s="530">
        <v>16932.218706910822</v>
      </c>
      <c r="R215" s="530">
        <v>4352.9840793561862</v>
      </c>
      <c r="S215" s="530">
        <v>1544.9359447817694</v>
      </c>
      <c r="T215" s="530">
        <v>295259.8946121778</v>
      </c>
      <c r="U215" s="530" t="s">
        <v>57</v>
      </c>
    </row>
    <row r="216" spans="1:21" ht="13.8" x14ac:dyDescent="0.3">
      <c r="A216" s="530" t="str">
        <f t="shared" si="6"/>
        <v>Conwy.2015.Economic Impact.Accommodation</v>
      </c>
      <c r="B216" s="530" t="s">
        <v>219</v>
      </c>
      <c r="C216" s="530" t="str">
        <f t="shared" si="7"/>
        <v>2015.Economic Impact.Accommodation</v>
      </c>
      <c r="D216" s="530" t="s">
        <v>234</v>
      </c>
      <c r="E216" s="530" t="s">
        <v>17</v>
      </c>
      <c r="F216" s="530" t="s">
        <v>23</v>
      </c>
      <c r="G216" s="530" t="s">
        <v>23</v>
      </c>
      <c r="H216" s="530">
        <v>3325.6578490530169</v>
      </c>
      <c r="I216" s="530">
        <v>5866.4595519558989</v>
      </c>
      <c r="J216" s="530">
        <v>6732.2866508405968</v>
      </c>
      <c r="K216" s="530">
        <v>8221.7808446305971</v>
      </c>
      <c r="L216" s="530">
        <v>11142.830764800339</v>
      </c>
      <c r="M216" s="530">
        <v>10000.347081988279</v>
      </c>
      <c r="N216" s="530">
        <v>16443.76563636044</v>
      </c>
      <c r="O216" s="530">
        <v>18954.382723594008</v>
      </c>
      <c r="P216" s="530">
        <v>14147.854537936319</v>
      </c>
      <c r="Q216" s="530">
        <v>8054.4257056101915</v>
      </c>
      <c r="R216" s="530">
        <v>6300.0753880005559</v>
      </c>
      <c r="S216" s="530">
        <v>3794.4137102655413</v>
      </c>
      <c r="T216" s="530">
        <v>112984.28044503578</v>
      </c>
      <c r="U216" s="530" t="s">
        <v>57</v>
      </c>
    </row>
    <row r="217" spans="1:21" ht="13.8" x14ac:dyDescent="0.3">
      <c r="A217" s="530" t="str">
        <f t="shared" si="6"/>
        <v>Conwy.2015.Economic Impact.Food &amp; Drink</v>
      </c>
      <c r="B217" s="530" t="s">
        <v>219</v>
      </c>
      <c r="C217" s="530" t="str">
        <f t="shared" si="7"/>
        <v>2015.Economic Impact.Food &amp; Drink</v>
      </c>
      <c r="D217" s="530" t="s">
        <v>234</v>
      </c>
      <c r="E217" s="530" t="s">
        <v>17</v>
      </c>
      <c r="F217" s="530" t="s">
        <v>49</v>
      </c>
      <c r="G217" s="530" t="s">
        <v>49</v>
      </c>
      <c r="H217" s="530">
        <v>1853.4842004547463</v>
      </c>
      <c r="I217" s="530">
        <v>3485.5569097926782</v>
      </c>
      <c r="J217" s="530">
        <v>7063.0280272475193</v>
      </c>
      <c r="K217" s="530">
        <v>12044.242176271513</v>
      </c>
      <c r="L217" s="530">
        <v>14726.696706439059</v>
      </c>
      <c r="M217" s="530">
        <v>12677.918568756089</v>
      </c>
      <c r="N217" s="530">
        <v>18284.38872328771</v>
      </c>
      <c r="O217" s="530">
        <v>21215.867110532086</v>
      </c>
      <c r="P217" s="530">
        <v>12797.826998567687</v>
      </c>
      <c r="Q217" s="530">
        <v>8852.5301935887583</v>
      </c>
      <c r="R217" s="530">
        <v>4232.0583812918148</v>
      </c>
      <c r="S217" s="530">
        <v>1859.0305061592483</v>
      </c>
      <c r="T217" s="530">
        <v>119092.62850238891</v>
      </c>
      <c r="U217" s="530" t="s">
        <v>57</v>
      </c>
    </row>
    <row r="218" spans="1:21" ht="13.8" x14ac:dyDescent="0.3">
      <c r="A218" s="530" t="str">
        <f t="shared" si="6"/>
        <v>Conwy.2015.Economic Impact.Recreation</v>
      </c>
      <c r="B218" s="530" t="s">
        <v>219</v>
      </c>
      <c r="C218" s="530" t="str">
        <f t="shared" si="7"/>
        <v>2015.Economic Impact.Recreation</v>
      </c>
      <c r="D218" s="530" t="s">
        <v>234</v>
      </c>
      <c r="E218" s="530" t="s">
        <v>17</v>
      </c>
      <c r="F218" s="530" t="s">
        <v>50</v>
      </c>
      <c r="G218" s="530" t="s">
        <v>50</v>
      </c>
      <c r="H218" s="530">
        <v>571.18063062720296</v>
      </c>
      <c r="I218" s="530">
        <v>1114.7172059502043</v>
      </c>
      <c r="J218" s="530">
        <v>2260.0796062493496</v>
      </c>
      <c r="K218" s="530">
        <v>3761.2825887853046</v>
      </c>
      <c r="L218" s="530">
        <v>4759.7596033926084</v>
      </c>
      <c r="M218" s="530">
        <v>4046.4335762979317</v>
      </c>
      <c r="N218" s="530">
        <v>5707.5551387801524</v>
      </c>
      <c r="O218" s="530">
        <v>6742.9631643300963</v>
      </c>
      <c r="P218" s="530">
        <v>3946.7581261275973</v>
      </c>
      <c r="Q218" s="530">
        <v>2619.2071548445438</v>
      </c>
      <c r="R218" s="530">
        <v>1310.713178030066</v>
      </c>
      <c r="S218" s="530">
        <v>591.02140493767297</v>
      </c>
      <c r="T218" s="530">
        <v>37431.67137835273</v>
      </c>
      <c r="U218" s="530" t="s">
        <v>57</v>
      </c>
    </row>
    <row r="219" spans="1:21" ht="13.8" x14ac:dyDescent="0.3">
      <c r="A219" s="530" t="str">
        <f t="shared" si="6"/>
        <v>Conwy.2015.Economic Impact.Shopping</v>
      </c>
      <c r="B219" s="530" t="s">
        <v>219</v>
      </c>
      <c r="C219" s="530" t="str">
        <f t="shared" si="7"/>
        <v>2015.Economic Impact.Shopping</v>
      </c>
      <c r="D219" s="530" t="s">
        <v>234</v>
      </c>
      <c r="E219" s="530" t="s">
        <v>17</v>
      </c>
      <c r="F219" s="530" t="s">
        <v>51</v>
      </c>
      <c r="G219" s="530" t="s">
        <v>51</v>
      </c>
      <c r="H219" s="530">
        <v>2750.2724411617528</v>
      </c>
      <c r="I219" s="530">
        <v>6614.4539449197791</v>
      </c>
      <c r="J219" s="530">
        <v>10134.770582402796</v>
      </c>
      <c r="K219" s="530">
        <v>20099.825215884666</v>
      </c>
      <c r="L219" s="530">
        <v>24036.040722278973</v>
      </c>
      <c r="M219" s="530">
        <v>19400.089971516623</v>
      </c>
      <c r="N219" s="530">
        <v>29088.689672521792</v>
      </c>
      <c r="O219" s="530">
        <v>34782.028563582004</v>
      </c>
      <c r="P219" s="530">
        <v>20129.746206770418</v>
      </c>
      <c r="Q219" s="530">
        <v>13077.533000172087</v>
      </c>
      <c r="R219" s="530">
        <v>5462.8254681288436</v>
      </c>
      <c r="S219" s="530">
        <v>2474.459714326455</v>
      </c>
      <c r="T219" s="530">
        <v>188050.73550366619</v>
      </c>
      <c r="U219" s="530" t="s">
        <v>57</v>
      </c>
    </row>
    <row r="220" spans="1:21" ht="13.8" x14ac:dyDescent="0.3">
      <c r="A220" s="530" t="str">
        <f t="shared" si="6"/>
        <v>Conwy.2015.Economic Impact.Transport</v>
      </c>
      <c r="B220" s="530" t="s">
        <v>219</v>
      </c>
      <c r="C220" s="530" t="str">
        <f t="shared" si="7"/>
        <v>2015.Economic Impact.Transport</v>
      </c>
      <c r="D220" s="530" t="s">
        <v>234</v>
      </c>
      <c r="E220" s="530" t="s">
        <v>17</v>
      </c>
      <c r="F220" s="530" t="s">
        <v>52</v>
      </c>
      <c r="G220" s="530" t="s">
        <v>52</v>
      </c>
      <c r="H220" s="530">
        <v>829.7659883973613</v>
      </c>
      <c r="I220" s="530">
        <v>1775.1350111877136</v>
      </c>
      <c r="J220" s="530">
        <v>3292.8307208416318</v>
      </c>
      <c r="K220" s="530">
        <v>5874.1225473637624</v>
      </c>
      <c r="L220" s="530">
        <v>7225.5878792392778</v>
      </c>
      <c r="M220" s="530">
        <v>6047.0140665770614</v>
      </c>
      <c r="N220" s="530">
        <v>8761.1955143824016</v>
      </c>
      <c r="O220" s="530">
        <v>10293.268939378529</v>
      </c>
      <c r="P220" s="530">
        <v>6054.929502426955</v>
      </c>
      <c r="Q220" s="530">
        <v>4099.0073200487013</v>
      </c>
      <c r="R220" s="530">
        <v>1904.8643338214856</v>
      </c>
      <c r="S220" s="530">
        <v>821.73553904269795</v>
      </c>
      <c r="T220" s="530">
        <v>56979.457362707573</v>
      </c>
      <c r="U220" s="530" t="s">
        <v>57</v>
      </c>
    </row>
    <row r="221" spans="1:21" ht="13.8" x14ac:dyDescent="0.3">
      <c r="A221" s="530" t="str">
        <f t="shared" si="6"/>
        <v>Conwy.2015.Economic Impact.Direct Expenditure</v>
      </c>
      <c r="B221" s="530" t="s">
        <v>219</v>
      </c>
      <c r="C221" s="530" t="str">
        <f t="shared" si="7"/>
        <v>2015.Economic Impact.Direct Expenditure</v>
      </c>
      <c r="D221" s="530" t="s">
        <v>234</v>
      </c>
      <c r="E221" s="530" t="s">
        <v>17</v>
      </c>
      <c r="F221" s="530" t="s">
        <v>44</v>
      </c>
      <c r="G221" s="530" t="s">
        <v>44</v>
      </c>
      <c r="H221" s="530">
        <v>11196.433331632898</v>
      </c>
      <c r="I221" s="530">
        <v>22627.587148567531</v>
      </c>
      <c r="J221" s="530">
        <v>35379.594705098272</v>
      </c>
      <c r="K221" s="530">
        <v>60001.504047523005</v>
      </c>
      <c r="L221" s="530">
        <v>74269.098811380303</v>
      </c>
      <c r="M221" s="530">
        <v>62606.163918163184</v>
      </c>
      <c r="N221" s="530">
        <v>93942.713622398995</v>
      </c>
      <c r="O221" s="530">
        <v>110386.21260170007</v>
      </c>
      <c r="P221" s="530">
        <v>68492.538446194783</v>
      </c>
      <c r="Q221" s="530">
        <v>44043.244049117129</v>
      </c>
      <c r="R221" s="530">
        <v>23052.644099127319</v>
      </c>
      <c r="S221" s="530">
        <v>11448.793049677937</v>
      </c>
      <c r="T221" s="530">
        <v>617446.5278305813</v>
      </c>
      <c r="U221" s="530" t="s">
        <v>57</v>
      </c>
    </row>
    <row r="222" spans="1:21" ht="13.8" x14ac:dyDescent="0.3">
      <c r="A222" s="530" t="str">
        <f t="shared" si="6"/>
        <v>Conwy.2015.Population.Total</v>
      </c>
      <c r="B222" s="530" t="s">
        <v>219</v>
      </c>
      <c r="C222" s="530" t="str">
        <f t="shared" si="7"/>
        <v>2015.Population.Total</v>
      </c>
      <c r="D222" s="530" t="s">
        <v>234</v>
      </c>
      <c r="E222" s="530" t="s">
        <v>19</v>
      </c>
      <c r="F222" s="530" t="s">
        <v>54</v>
      </c>
      <c r="G222" s="530" t="s">
        <v>54</v>
      </c>
      <c r="H222" s="530">
        <v>116287</v>
      </c>
      <c r="I222" s="530">
        <v>116287</v>
      </c>
      <c r="J222" s="530">
        <v>116287</v>
      </c>
      <c r="K222" s="530">
        <v>116287</v>
      </c>
      <c r="L222" s="530">
        <v>116287</v>
      </c>
      <c r="M222" s="530">
        <v>116287</v>
      </c>
      <c r="N222" s="530">
        <v>116287</v>
      </c>
      <c r="O222" s="530">
        <v>116287</v>
      </c>
      <c r="P222" s="530">
        <v>116287</v>
      </c>
      <c r="Q222" s="530">
        <v>116287</v>
      </c>
      <c r="R222" s="530">
        <v>116287</v>
      </c>
      <c r="S222" s="530">
        <v>116287</v>
      </c>
      <c r="T222" s="530">
        <v>116287</v>
      </c>
      <c r="U222" s="530" t="s">
        <v>60</v>
      </c>
    </row>
    <row r="223" spans="1:21" ht="13.8" x14ac:dyDescent="0.3">
      <c r="A223" s="530" t="str">
        <f t="shared" si="6"/>
        <v>Conwy.2015.Employment.Serviced Accommodation</v>
      </c>
      <c r="B223" s="530" t="s">
        <v>219</v>
      </c>
      <c r="C223" s="530" t="str">
        <f t="shared" si="7"/>
        <v>2015.Employment.Serviced Accommodation</v>
      </c>
      <c r="D223" s="530" t="s">
        <v>234</v>
      </c>
      <c r="E223" s="530" t="s">
        <v>20</v>
      </c>
      <c r="F223" s="530" t="s">
        <v>43</v>
      </c>
      <c r="G223" s="530" t="s">
        <v>43</v>
      </c>
      <c r="H223" s="530">
        <v>2251.0896398787818</v>
      </c>
      <c r="I223" s="530">
        <v>2751.2980694662715</v>
      </c>
      <c r="J223" s="530">
        <v>2896.1759823967518</v>
      </c>
      <c r="K223" s="530">
        <v>3197.7049499055761</v>
      </c>
      <c r="L223" s="530">
        <v>3574.4401063449222</v>
      </c>
      <c r="M223" s="530">
        <v>3368.8906992665907</v>
      </c>
      <c r="N223" s="530">
        <v>3437.8227851185507</v>
      </c>
      <c r="O223" s="530">
        <v>3513.4362681855164</v>
      </c>
      <c r="P223" s="530">
        <v>3207.8856158445155</v>
      </c>
      <c r="Q223" s="530">
        <v>3149.2268557306666</v>
      </c>
      <c r="R223" s="530">
        <v>2900.8144096407868</v>
      </c>
      <c r="S223" s="530">
        <v>2467.0519843327679</v>
      </c>
      <c r="T223" s="530">
        <v>3059.6531138426417</v>
      </c>
      <c r="U223" s="530" t="s">
        <v>59</v>
      </c>
    </row>
    <row r="224" spans="1:21" ht="13.8" x14ac:dyDescent="0.3">
      <c r="A224" s="530" t="str">
        <f t="shared" si="6"/>
        <v>Conwy.2015.Employment.Non-Serviced Accommodation</v>
      </c>
      <c r="B224" s="530" t="s">
        <v>219</v>
      </c>
      <c r="C224" s="530" t="str">
        <f t="shared" si="7"/>
        <v>2015.Employment.Non-Serviced Accommodation</v>
      </c>
      <c r="D224" s="530" t="s">
        <v>234</v>
      </c>
      <c r="E224" s="530" t="s">
        <v>20</v>
      </c>
      <c r="F224" s="530" t="s">
        <v>48</v>
      </c>
      <c r="G224" s="530" t="s">
        <v>48</v>
      </c>
      <c r="H224" s="530">
        <v>985.08441804308791</v>
      </c>
      <c r="I224" s="530">
        <v>1051.6369458972858</v>
      </c>
      <c r="J224" s="530">
        <v>3274.080360782893</v>
      </c>
      <c r="K224" s="530">
        <v>4085.4299187873958</v>
      </c>
      <c r="L224" s="530">
        <v>5010.8482822654933</v>
      </c>
      <c r="M224" s="530">
        <v>4794.623878119377</v>
      </c>
      <c r="N224" s="530">
        <v>6269.7774997347842</v>
      </c>
      <c r="O224" s="530">
        <v>7310.6866030248557</v>
      </c>
      <c r="P224" s="530">
        <v>4682.2291165007246</v>
      </c>
      <c r="Q224" s="530">
        <v>3769.6537963063406</v>
      </c>
      <c r="R224" s="530">
        <v>2167.3601407427846</v>
      </c>
      <c r="S224" s="530">
        <v>1051.2624136877071</v>
      </c>
      <c r="T224" s="530">
        <v>3704.3894478243942</v>
      </c>
      <c r="U224" s="530" t="s">
        <v>59</v>
      </c>
    </row>
    <row r="225" spans="1:21" ht="13.8" x14ac:dyDescent="0.3">
      <c r="A225" s="530" t="str">
        <f t="shared" si="6"/>
        <v>Conwy.2015.Employment.SFR</v>
      </c>
      <c r="B225" s="530" t="s">
        <v>219</v>
      </c>
      <c r="C225" s="530" t="str">
        <f t="shared" si="7"/>
        <v>2015.Employment.SFR</v>
      </c>
      <c r="D225" s="530" t="s">
        <v>234</v>
      </c>
      <c r="E225" s="530" t="s">
        <v>20</v>
      </c>
      <c r="F225" s="530" t="s">
        <v>18</v>
      </c>
      <c r="G225" s="530" t="s">
        <v>18</v>
      </c>
      <c r="H225" s="530">
        <v>243.4073547374372</v>
      </c>
      <c r="I225" s="530">
        <v>81.78487119177889</v>
      </c>
      <c r="J225" s="530">
        <v>93.035700032975981</v>
      </c>
      <c r="K225" s="530">
        <v>221.98750752054269</v>
      </c>
      <c r="L225" s="530">
        <v>142.79898144596314</v>
      </c>
      <c r="M225" s="530">
        <v>110.00065175294262</v>
      </c>
      <c r="N225" s="530">
        <v>178.49872680745392</v>
      </c>
      <c r="O225" s="530">
        <v>188.95767038790527</v>
      </c>
      <c r="P225" s="530">
        <v>97.328540322171975</v>
      </c>
      <c r="Q225" s="530">
        <v>97.233124639114919</v>
      </c>
      <c r="R225" s="530">
        <v>75.764595951272938</v>
      </c>
      <c r="S225" s="530">
        <v>219.3911624033434</v>
      </c>
      <c r="T225" s="530">
        <v>145.8490739327419</v>
      </c>
      <c r="U225" s="530" t="s">
        <v>59</v>
      </c>
    </row>
    <row r="226" spans="1:21" ht="13.8" x14ac:dyDescent="0.3">
      <c r="A226" s="530" t="str">
        <f t="shared" si="6"/>
        <v>Conwy.2015.Employment.Day Visitor</v>
      </c>
      <c r="B226" s="530" t="s">
        <v>219</v>
      </c>
      <c r="C226" s="530" t="str">
        <f t="shared" si="7"/>
        <v>2015.Employment.Day Visitor</v>
      </c>
      <c r="D226" s="530" t="s">
        <v>234</v>
      </c>
      <c r="E226" s="530" t="s">
        <v>20</v>
      </c>
      <c r="F226" s="530" t="s">
        <v>71</v>
      </c>
      <c r="G226" s="530" t="s">
        <v>71</v>
      </c>
      <c r="H226" s="530">
        <v>316.29654392294566</v>
      </c>
      <c r="I226" s="530">
        <v>1476.5312312378758</v>
      </c>
      <c r="J226" s="530">
        <v>1500.0902492615737</v>
      </c>
      <c r="K226" s="530">
        <v>4104.3594072791511</v>
      </c>
      <c r="L226" s="530">
        <v>4714.8190631278294</v>
      </c>
      <c r="M226" s="530">
        <v>3469.2172684917987</v>
      </c>
      <c r="N226" s="530">
        <v>5699.5231941071825</v>
      </c>
      <c r="O226" s="530">
        <v>7164.5977880390437</v>
      </c>
      <c r="P226" s="530">
        <v>3889.4111703650401</v>
      </c>
      <c r="Q226" s="530">
        <v>2009.6948702623793</v>
      </c>
      <c r="R226" s="530">
        <v>516.65820800232143</v>
      </c>
      <c r="S226" s="530">
        <v>183.36934437568132</v>
      </c>
      <c r="T226" s="530">
        <v>2920.3806948727347</v>
      </c>
      <c r="U226" s="530" t="s">
        <v>59</v>
      </c>
    </row>
    <row r="227" spans="1:21" ht="13.8" x14ac:dyDescent="0.3">
      <c r="A227" s="530" t="str">
        <f t="shared" si="6"/>
        <v>Conwy.2015.Employment.Direct Employment</v>
      </c>
      <c r="B227" s="530" t="s">
        <v>219</v>
      </c>
      <c r="C227" s="530" t="str">
        <f t="shared" si="7"/>
        <v>2015.Employment.Direct Employment</v>
      </c>
      <c r="D227" s="530" t="s">
        <v>234</v>
      </c>
      <c r="E227" s="530" t="s">
        <v>20</v>
      </c>
      <c r="F227" s="530" t="s">
        <v>55</v>
      </c>
      <c r="G227" s="530" t="s">
        <v>55</v>
      </c>
      <c r="H227" s="530">
        <v>3795.8779565822524</v>
      </c>
      <c r="I227" s="530">
        <v>5361.251117793212</v>
      </c>
      <c r="J227" s="530">
        <v>7763.3822924741944</v>
      </c>
      <c r="K227" s="530">
        <v>11609.481783492665</v>
      </c>
      <c r="L227" s="530">
        <v>13442.906433184209</v>
      </c>
      <c r="M227" s="530">
        <v>11742.732497630708</v>
      </c>
      <c r="N227" s="530">
        <v>15585.622205767973</v>
      </c>
      <c r="O227" s="530">
        <v>18177.678329637321</v>
      </c>
      <c r="P227" s="530">
        <v>11876.854443032453</v>
      </c>
      <c r="Q227" s="530">
        <v>9025.8086469385016</v>
      </c>
      <c r="R227" s="530">
        <v>5660.5973543371665</v>
      </c>
      <c r="S227" s="530">
        <v>3921.0749047995</v>
      </c>
      <c r="T227" s="530">
        <v>9830.2723304725132</v>
      </c>
      <c r="U227" s="530" t="s">
        <v>59</v>
      </c>
    </row>
    <row r="228" spans="1:21" ht="13.8" x14ac:dyDescent="0.3">
      <c r="A228" s="530" t="str">
        <f t="shared" si="6"/>
        <v>Conwy.2015.Employment.Indirect Employment</v>
      </c>
      <c r="B228" s="530" t="s">
        <v>219</v>
      </c>
      <c r="C228" s="530" t="str">
        <f t="shared" si="7"/>
        <v>2015.Employment.Indirect Employment</v>
      </c>
      <c r="D228" s="530" t="s">
        <v>234</v>
      </c>
      <c r="E228" s="530" t="s">
        <v>20</v>
      </c>
      <c r="F228" s="530" t="s">
        <v>53</v>
      </c>
      <c r="G228" s="530" t="s">
        <v>53</v>
      </c>
      <c r="H228" s="530">
        <v>467.90779157496047</v>
      </c>
      <c r="I228" s="530">
        <v>948.48226073796502</v>
      </c>
      <c r="J228" s="530">
        <v>1522.4852222190332</v>
      </c>
      <c r="K228" s="530">
        <v>2621.7313198883176</v>
      </c>
      <c r="L228" s="530">
        <v>3225.2742367705655</v>
      </c>
      <c r="M228" s="530">
        <v>2713.1923219025625</v>
      </c>
      <c r="N228" s="530">
        <v>4110.9608025713023</v>
      </c>
      <c r="O228" s="530">
        <v>4849.2045701648676</v>
      </c>
      <c r="P228" s="530">
        <v>2989.2443163046933</v>
      </c>
      <c r="Q228" s="530">
        <v>1897.715740820066</v>
      </c>
      <c r="R228" s="530">
        <v>953.60441866997189</v>
      </c>
      <c r="S228" s="530">
        <v>462.18856018913141</v>
      </c>
      <c r="T228" s="530">
        <v>2230.1659634844532</v>
      </c>
      <c r="U228" s="530" t="s">
        <v>59</v>
      </c>
    </row>
    <row r="229" spans="1:21" ht="13.8" x14ac:dyDescent="0.3">
      <c r="A229" s="530" t="str">
        <f t="shared" si="6"/>
        <v>Conwy.2015.Employment.Total</v>
      </c>
      <c r="B229" s="530" t="s">
        <v>219</v>
      </c>
      <c r="C229" s="530" t="str">
        <f t="shared" si="7"/>
        <v>2015.Employment.Total</v>
      </c>
      <c r="D229" s="530" t="s">
        <v>234</v>
      </c>
      <c r="E229" s="530" t="s">
        <v>20</v>
      </c>
      <c r="F229" s="530" t="s">
        <v>54</v>
      </c>
      <c r="G229" s="530" t="s">
        <v>54</v>
      </c>
      <c r="H229" s="530">
        <v>4263.7857481572128</v>
      </c>
      <c r="I229" s="530">
        <v>6309.7333785311766</v>
      </c>
      <c r="J229" s="530">
        <v>9285.8675146932273</v>
      </c>
      <c r="K229" s="530">
        <v>14231.213103380982</v>
      </c>
      <c r="L229" s="530">
        <v>16668.180669954774</v>
      </c>
      <c r="M229" s="530">
        <v>14455.924819533271</v>
      </c>
      <c r="N229" s="530">
        <v>19696.583008339276</v>
      </c>
      <c r="O229" s="530">
        <v>23026.882899802189</v>
      </c>
      <c r="P229" s="530">
        <v>14866.098759337146</v>
      </c>
      <c r="Q229" s="530">
        <v>10923.524387758567</v>
      </c>
      <c r="R229" s="530">
        <v>6614.2017730071384</v>
      </c>
      <c r="S229" s="530">
        <v>4383.2634649886313</v>
      </c>
      <c r="T229" s="530">
        <v>12060.438293956968</v>
      </c>
      <c r="U229" s="530" t="s">
        <v>59</v>
      </c>
    </row>
    <row r="230" spans="1:21" ht="13.8" x14ac:dyDescent="0.3">
      <c r="A230" s="530" t="str">
        <f t="shared" si="6"/>
        <v>Conwy.2015.Employment.Accommodation</v>
      </c>
      <c r="B230" s="530" t="s">
        <v>219</v>
      </c>
      <c r="C230" s="530" t="str">
        <f t="shared" si="7"/>
        <v>2015.Employment.Accommodation</v>
      </c>
      <c r="D230" s="530" t="s">
        <v>234</v>
      </c>
      <c r="E230" s="530" t="s">
        <v>20</v>
      </c>
      <c r="F230" s="530" t="s">
        <v>23</v>
      </c>
      <c r="G230" s="530" t="s">
        <v>23</v>
      </c>
      <c r="H230" s="530">
        <v>2608</v>
      </c>
      <c r="I230" s="530">
        <v>2833.0645116638848</v>
      </c>
      <c r="J230" s="530">
        <v>3271.2000000000003</v>
      </c>
      <c r="K230" s="530">
        <v>3425.2626077626674</v>
      </c>
      <c r="L230" s="530">
        <v>3497.5996495902532</v>
      </c>
      <c r="M230" s="530">
        <v>3446.1403979427168</v>
      </c>
      <c r="N230" s="530">
        <v>3438.9</v>
      </c>
      <c r="O230" s="530">
        <v>3856.1704434049843</v>
      </c>
      <c r="P230" s="530">
        <v>3434.7</v>
      </c>
      <c r="Q230" s="530">
        <v>3374.2999999999997</v>
      </c>
      <c r="R230" s="530">
        <v>3097</v>
      </c>
      <c r="S230" s="530">
        <v>2779.2</v>
      </c>
      <c r="T230" s="530">
        <v>3255.1281341970421</v>
      </c>
      <c r="U230" s="530" t="s">
        <v>59</v>
      </c>
    </row>
    <row r="231" spans="1:21" ht="13.8" x14ac:dyDescent="0.3">
      <c r="A231" s="530" t="str">
        <f t="shared" si="6"/>
        <v>Conwy.2015.Employment.Food &amp; Drink</v>
      </c>
      <c r="B231" s="530" t="s">
        <v>219</v>
      </c>
      <c r="C231" s="530" t="str">
        <f t="shared" si="7"/>
        <v>2015.Employment.Food &amp; Drink</v>
      </c>
      <c r="D231" s="530" t="s">
        <v>234</v>
      </c>
      <c r="E231" s="530" t="s">
        <v>20</v>
      </c>
      <c r="F231" s="530" t="s">
        <v>49</v>
      </c>
      <c r="G231" s="530" t="s">
        <v>49</v>
      </c>
      <c r="H231" s="530">
        <v>483.85421174419076</v>
      </c>
      <c r="I231" s="530">
        <v>909.90869556021903</v>
      </c>
      <c r="J231" s="530">
        <v>1843.8117022052352</v>
      </c>
      <c r="K231" s="530">
        <v>3144.1634640458187</v>
      </c>
      <c r="L231" s="530">
        <v>3844.4213469646006</v>
      </c>
      <c r="M231" s="530">
        <v>3309.5854251886772</v>
      </c>
      <c r="N231" s="530">
        <v>4773.1609963333749</v>
      </c>
      <c r="O231" s="530">
        <v>5538.4268475109884</v>
      </c>
      <c r="P231" s="530">
        <v>3340.887660607646</v>
      </c>
      <c r="Q231" s="530">
        <v>2310.9633293392171</v>
      </c>
      <c r="R231" s="530">
        <v>1104.7837751370907</v>
      </c>
      <c r="S231" s="530">
        <v>485.30208131550177</v>
      </c>
      <c r="T231" s="530">
        <v>2590.7724613293799</v>
      </c>
      <c r="U231" s="530" t="s">
        <v>59</v>
      </c>
    </row>
    <row r="232" spans="1:21" ht="13.8" x14ac:dyDescent="0.3">
      <c r="A232" s="530" t="str">
        <f t="shared" si="6"/>
        <v>Conwy.2015.Employment.Recreation</v>
      </c>
      <c r="B232" s="530" t="s">
        <v>219</v>
      </c>
      <c r="C232" s="530" t="str">
        <f t="shared" si="7"/>
        <v>2015.Employment.Recreation</v>
      </c>
      <c r="D232" s="530" t="s">
        <v>234</v>
      </c>
      <c r="E232" s="530" t="s">
        <v>20</v>
      </c>
      <c r="F232" s="530" t="s">
        <v>50</v>
      </c>
      <c r="G232" s="530" t="s">
        <v>50</v>
      </c>
      <c r="H232" s="530">
        <v>122.12177070332112</v>
      </c>
      <c r="I232" s="530">
        <v>238.3330801582232</v>
      </c>
      <c r="J232" s="530">
        <v>483.21828270429864</v>
      </c>
      <c r="K232" s="530">
        <v>804.18428992181737</v>
      </c>
      <c r="L232" s="530">
        <v>1017.6645350353715</v>
      </c>
      <c r="M232" s="530">
        <v>865.15124441150999</v>
      </c>
      <c r="N232" s="530">
        <v>1220.3087824762031</v>
      </c>
      <c r="O232" s="530">
        <v>1441.6850944525754</v>
      </c>
      <c r="P232" s="530">
        <v>843.84004823686826</v>
      </c>
      <c r="Q232" s="530">
        <v>560.00186007216075</v>
      </c>
      <c r="R232" s="530">
        <v>280.23816915752695</v>
      </c>
      <c r="S232" s="530">
        <v>126.36384468306886</v>
      </c>
      <c r="T232" s="530">
        <v>666.92591683441208</v>
      </c>
      <c r="U232" s="530" t="s">
        <v>59</v>
      </c>
    </row>
    <row r="233" spans="1:21" ht="13.8" x14ac:dyDescent="0.3">
      <c r="A233" s="530" t="str">
        <f t="shared" si="6"/>
        <v>Conwy.2015.Employment.Shopping</v>
      </c>
      <c r="B233" s="530" t="s">
        <v>219</v>
      </c>
      <c r="C233" s="530" t="str">
        <f t="shared" si="7"/>
        <v>2015.Employment.Shopping</v>
      </c>
      <c r="D233" s="530" t="s">
        <v>234</v>
      </c>
      <c r="E233" s="530" t="s">
        <v>20</v>
      </c>
      <c r="F233" s="530" t="s">
        <v>51</v>
      </c>
      <c r="G233" s="530" t="s">
        <v>51</v>
      </c>
      <c r="H233" s="530">
        <v>508.36077121997334</v>
      </c>
      <c r="I233" s="530">
        <v>1222.6166609217942</v>
      </c>
      <c r="J233" s="530">
        <v>1873.3125170797471</v>
      </c>
      <c r="K233" s="530">
        <v>3715.254712663153</v>
      </c>
      <c r="L233" s="530">
        <v>4442.8253782345137</v>
      </c>
      <c r="M233" s="530">
        <v>3585.9155449672885</v>
      </c>
      <c r="N233" s="530">
        <v>5376.7577692976438</v>
      </c>
      <c r="O233" s="530">
        <v>6429.1153852774842</v>
      </c>
      <c r="P233" s="530">
        <v>3720.7853131137472</v>
      </c>
      <c r="Q233" s="530">
        <v>2417.253164495181</v>
      </c>
      <c r="R233" s="530">
        <v>1009.7494802533132</v>
      </c>
      <c r="S233" s="530">
        <v>457.379505354164</v>
      </c>
      <c r="T233" s="530">
        <v>2896.6105169064999</v>
      </c>
      <c r="U233" s="530" t="s">
        <v>59</v>
      </c>
    </row>
    <row r="234" spans="1:21" ht="13.8" x14ac:dyDescent="0.3">
      <c r="A234" s="530" t="str">
        <f t="shared" si="6"/>
        <v>Conwy.2015.Employment.Transport</v>
      </c>
      <c r="B234" s="530" t="s">
        <v>219</v>
      </c>
      <c r="C234" s="530" t="str">
        <f t="shared" si="7"/>
        <v>2015.Employment.Transport</v>
      </c>
      <c r="D234" s="530" t="s">
        <v>234</v>
      </c>
      <c r="E234" s="530" t="s">
        <v>20</v>
      </c>
      <c r="F234" s="530" t="s">
        <v>52</v>
      </c>
      <c r="G234" s="530" t="s">
        <v>52</v>
      </c>
      <c r="H234" s="530">
        <v>73.541202914766941</v>
      </c>
      <c r="I234" s="530">
        <v>157.32816948909047</v>
      </c>
      <c r="J234" s="530">
        <v>291.83979048491312</v>
      </c>
      <c r="K234" s="530">
        <v>520.61670909920838</v>
      </c>
      <c r="L234" s="530">
        <v>640.39552335947019</v>
      </c>
      <c r="M234" s="530">
        <v>535.93988512051658</v>
      </c>
      <c r="N234" s="530">
        <v>776.49465766074911</v>
      </c>
      <c r="O234" s="530">
        <v>912.28055899128924</v>
      </c>
      <c r="P234" s="530">
        <v>536.64142107418968</v>
      </c>
      <c r="Q234" s="530">
        <v>363.29029303194227</v>
      </c>
      <c r="R234" s="530">
        <v>168.82592978923518</v>
      </c>
      <c r="S234" s="530">
        <v>72.829473446765135</v>
      </c>
      <c r="T234" s="530">
        <v>420.83530120517804</v>
      </c>
      <c r="U234" s="530" t="s">
        <v>59</v>
      </c>
    </row>
    <row r="235" spans="1:21" ht="13.8" x14ac:dyDescent="0.3">
      <c r="A235" s="530" t="str">
        <f t="shared" si="6"/>
        <v>Conwy.2015.Visitor Days.Serviced Accommodation</v>
      </c>
      <c r="B235" s="530" t="s">
        <v>219</v>
      </c>
      <c r="C235" s="530" t="str">
        <f t="shared" si="7"/>
        <v>2015.Visitor Days.Serviced Accommodation</v>
      </c>
      <c r="D235" s="530" t="s">
        <v>234</v>
      </c>
      <c r="E235" s="530" t="s">
        <v>171</v>
      </c>
      <c r="F235" s="530" t="s">
        <v>43</v>
      </c>
      <c r="G235" s="530" t="s">
        <v>43</v>
      </c>
      <c r="H235" s="530">
        <v>86.75894027449624</v>
      </c>
      <c r="I235" s="530">
        <v>154.55854832098231</v>
      </c>
      <c r="J235" s="530">
        <v>139.81687735612093</v>
      </c>
      <c r="K235" s="530">
        <v>182.22029322091527</v>
      </c>
      <c r="L235" s="530">
        <v>251.59101493876886</v>
      </c>
      <c r="M235" s="530">
        <v>214.67237719019974</v>
      </c>
      <c r="N235" s="530">
        <v>226.0527367363641</v>
      </c>
      <c r="O235" s="530">
        <v>238.74011589371835</v>
      </c>
      <c r="P235" s="530">
        <v>180.9804968748588</v>
      </c>
      <c r="Q235" s="530">
        <v>183.92509360388013</v>
      </c>
      <c r="R235" s="530">
        <v>153.59721534123838</v>
      </c>
      <c r="S235" s="530">
        <v>100.40562394956513</v>
      </c>
      <c r="T235" s="530">
        <v>2113.3193337011085</v>
      </c>
      <c r="U235" s="530" t="s">
        <v>61</v>
      </c>
    </row>
    <row r="236" spans="1:21" ht="13.8" x14ac:dyDescent="0.3">
      <c r="A236" s="530" t="str">
        <f t="shared" si="6"/>
        <v>Conwy.2015.Visitor Days.Non-Serviced Accommodation</v>
      </c>
      <c r="B236" s="530" t="s">
        <v>219</v>
      </c>
      <c r="C236" s="530" t="str">
        <f t="shared" si="7"/>
        <v>2015.Visitor Days.Non-Serviced Accommodation</v>
      </c>
      <c r="D236" s="530" t="s">
        <v>234</v>
      </c>
      <c r="E236" s="530" t="s">
        <v>171</v>
      </c>
      <c r="F236" s="530" t="s">
        <v>48</v>
      </c>
      <c r="G236" s="530" t="s">
        <v>48</v>
      </c>
      <c r="H236" s="530">
        <v>49.586980560367728</v>
      </c>
      <c r="I236" s="530">
        <v>61.666179379771329</v>
      </c>
      <c r="J236" s="530">
        <v>557.71451593718416</v>
      </c>
      <c r="K236" s="530">
        <v>723.53136833032272</v>
      </c>
      <c r="L236" s="530">
        <v>935.05818102195099</v>
      </c>
      <c r="M236" s="530">
        <v>909.28500324417814</v>
      </c>
      <c r="N236" s="530">
        <v>1272.3761037705995</v>
      </c>
      <c r="O236" s="530">
        <v>1429.5859378506429</v>
      </c>
      <c r="P236" s="530">
        <v>903.35345851103204</v>
      </c>
      <c r="Q236" s="530">
        <v>672.18174996699486</v>
      </c>
      <c r="R236" s="530">
        <v>314.55788955799704</v>
      </c>
      <c r="S236" s="530">
        <v>63.874767232812836</v>
      </c>
      <c r="T236" s="530">
        <v>7892.7721353638544</v>
      </c>
      <c r="U236" s="530" t="s">
        <v>61</v>
      </c>
    </row>
    <row r="237" spans="1:21" ht="13.8" x14ac:dyDescent="0.3">
      <c r="A237" s="530" t="str">
        <f t="shared" si="6"/>
        <v>Conwy.2015.Visitor Days.SFR</v>
      </c>
      <c r="B237" s="530" t="s">
        <v>219</v>
      </c>
      <c r="C237" s="530" t="str">
        <f t="shared" si="7"/>
        <v>2015.Visitor Days.SFR</v>
      </c>
      <c r="D237" s="530" t="s">
        <v>234</v>
      </c>
      <c r="E237" s="530" t="s">
        <v>171</v>
      </c>
      <c r="F237" s="530" t="s">
        <v>18</v>
      </c>
      <c r="G237" s="530" t="s">
        <v>18</v>
      </c>
      <c r="H237" s="530">
        <v>59.464943181818178</v>
      </c>
      <c r="I237" s="530">
        <v>19.980220909090907</v>
      </c>
      <c r="J237" s="530">
        <v>22.728822727272725</v>
      </c>
      <c r="K237" s="530">
        <v>54.232028181818173</v>
      </c>
      <c r="L237" s="530">
        <v>34.886099999999999</v>
      </c>
      <c r="M237" s="530">
        <v>26.873397122727273</v>
      </c>
      <c r="N237" s="530">
        <v>43.607624999999999</v>
      </c>
      <c r="O237" s="530">
        <v>46.162767536363638</v>
      </c>
      <c r="P237" s="530">
        <v>23.777572894090909</v>
      </c>
      <c r="Q237" s="530">
        <v>23.754262636363638</v>
      </c>
      <c r="R237" s="530">
        <v>18.509454647727271</v>
      </c>
      <c r="S237" s="530">
        <v>53.597735454545457</v>
      </c>
      <c r="T237" s="530">
        <v>427.57493029181819</v>
      </c>
      <c r="U237" s="530" t="s">
        <v>61</v>
      </c>
    </row>
    <row r="238" spans="1:21" ht="13.8" x14ac:dyDescent="0.3">
      <c r="A238" s="530" t="str">
        <f t="shared" si="6"/>
        <v>Conwy.2015.Visitor Days.Day Visitor</v>
      </c>
      <c r="B238" s="530" t="s">
        <v>219</v>
      </c>
      <c r="C238" s="530" t="str">
        <f t="shared" si="7"/>
        <v>2015.Visitor Days.Day Visitor</v>
      </c>
      <c r="D238" s="530" t="s">
        <v>234</v>
      </c>
      <c r="E238" s="530" t="s">
        <v>171</v>
      </c>
      <c r="F238" s="530" t="s">
        <v>71</v>
      </c>
      <c r="G238" s="530" t="s">
        <v>71</v>
      </c>
      <c r="H238" s="530">
        <v>60.565758005791913</v>
      </c>
      <c r="I238" s="530">
        <v>282.73224907867763</v>
      </c>
      <c r="J238" s="530">
        <v>287.24342636433585</v>
      </c>
      <c r="K238" s="530">
        <v>785.91955367878791</v>
      </c>
      <c r="L238" s="530">
        <v>902.81286945727857</v>
      </c>
      <c r="M238" s="530">
        <v>664.29993495020904</v>
      </c>
      <c r="N238" s="530">
        <v>1091.3680505051248</v>
      </c>
      <c r="O238" s="530">
        <v>1371.9065357379184</v>
      </c>
      <c r="P238" s="530">
        <v>744.76038469373839</v>
      </c>
      <c r="Q238" s="530">
        <v>384.82460689625822</v>
      </c>
      <c r="R238" s="530">
        <v>98.931830267477835</v>
      </c>
      <c r="S238" s="530">
        <v>35.112313272205064</v>
      </c>
      <c r="T238" s="530">
        <v>6710.4775129078034</v>
      </c>
      <c r="U238" s="530" t="s">
        <v>61</v>
      </c>
    </row>
    <row r="239" spans="1:21" ht="13.8" x14ac:dyDescent="0.3">
      <c r="A239" s="530" t="str">
        <f t="shared" si="6"/>
        <v>Conwy.2015.Visitor Days.Total</v>
      </c>
      <c r="B239" s="530" t="s">
        <v>219</v>
      </c>
      <c r="C239" s="530" t="str">
        <f t="shared" si="7"/>
        <v>2015.Visitor Days.Total</v>
      </c>
      <c r="D239" s="530" t="s">
        <v>234</v>
      </c>
      <c r="E239" s="530" t="s">
        <v>171</v>
      </c>
      <c r="F239" s="530" t="s">
        <v>54</v>
      </c>
      <c r="G239" s="530" t="s">
        <v>54</v>
      </c>
      <c r="H239" s="530">
        <v>256.37662202247407</v>
      </c>
      <c r="I239" s="530">
        <v>518.93719768852225</v>
      </c>
      <c r="J239" s="530">
        <v>1007.5036423849136</v>
      </c>
      <c r="K239" s="530">
        <v>1745.903243411844</v>
      </c>
      <c r="L239" s="530">
        <v>2124.3481654179986</v>
      </c>
      <c r="M239" s="530">
        <v>1815.1307125073142</v>
      </c>
      <c r="N239" s="530">
        <v>2633.4045160120886</v>
      </c>
      <c r="O239" s="530">
        <v>3086.3953570186432</v>
      </c>
      <c r="P239" s="530">
        <v>1852.8719129737203</v>
      </c>
      <c r="Q239" s="530">
        <v>1264.6857131034967</v>
      </c>
      <c r="R239" s="530">
        <v>585.5963898144405</v>
      </c>
      <c r="S239" s="530">
        <v>252.99043990912847</v>
      </c>
      <c r="T239" s="530">
        <v>17144.143912264582</v>
      </c>
      <c r="U239" s="530" t="s">
        <v>61</v>
      </c>
    </row>
    <row r="240" spans="1:21" ht="13.8" x14ac:dyDescent="0.3">
      <c r="A240" s="530" t="str">
        <f t="shared" si="6"/>
        <v>Conwy.2015.Visitor Numbers.Serviced Accommodation</v>
      </c>
      <c r="B240" s="530" t="s">
        <v>219</v>
      </c>
      <c r="C240" s="530" t="str">
        <f t="shared" si="7"/>
        <v>2015.Visitor Numbers.Serviced Accommodation</v>
      </c>
      <c r="D240" s="530" t="s">
        <v>234</v>
      </c>
      <c r="E240" s="530" t="s">
        <v>172</v>
      </c>
      <c r="F240" s="530" t="s">
        <v>43</v>
      </c>
      <c r="G240" s="530" t="s">
        <v>43</v>
      </c>
      <c r="H240" s="530">
        <v>56.093558114231456</v>
      </c>
      <c r="I240" s="530">
        <v>104.75241862288613</v>
      </c>
      <c r="J240" s="530">
        <v>67.611825936556315</v>
      </c>
      <c r="K240" s="530">
        <v>100.08207667038324</v>
      </c>
      <c r="L240" s="530">
        <v>133.68809897243105</v>
      </c>
      <c r="M240" s="530">
        <v>120.2494508977159</v>
      </c>
      <c r="N240" s="530">
        <v>130.0323954666132</v>
      </c>
      <c r="O240" s="530">
        <v>135.65194919429166</v>
      </c>
      <c r="P240" s="530">
        <v>91.764606939000089</v>
      </c>
      <c r="Q240" s="530">
        <v>107.10912404163643</v>
      </c>
      <c r="R240" s="530">
        <v>89.363518311889791</v>
      </c>
      <c r="S240" s="530">
        <v>61.427521939428964</v>
      </c>
      <c r="T240" s="530">
        <v>1197.8265451070642</v>
      </c>
      <c r="U240" s="530" t="s">
        <v>61</v>
      </c>
    </row>
    <row r="241" spans="1:21" ht="13.8" x14ac:dyDescent="0.3">
      <c r="A241" s="530" t="str">
        <f t="shared" si="6"/>
        <v>Conwy.2015.Visitor Numbers.Non-Serviced Accommodation</v>
      </c>
      <c r="B241" s="530" t="s">
        <v>219</v>
      </c>
      <c r="C241" s="530" t="str">
        <f t="shared" si="7"/>
        <v>2015.Visitor Numbers.Non-Serviced Accommodation</v>
      </c>
      <c r="D241" s="530" t="s">
        <v>234</v>
      </c>
      <c r="E241" s="530" t="s">
        <v>172</v>
      </c>
      <c r="F241" s="530" t="s">
        <v>48</v>
      </c>
      <c r="G241" s="530" t="s">
        <v>48</v>
      </c>
      <c r="H241" s="530">
        <v>14.584406047166981</v>
      </c>
      <c r="I241" s="530">
        <v>15.416544844942832</v>
      </c>
      <c r="J241" s="530">
        <v>116.19052415358003</v>
      </c>
      <c r="K241" s="530">
        <v>113.05177630161292</v>
      </c>
      <c r="L241" s="530">
        <v>135.5156784089784</v>
      </c>
      <c r="M241" s="530">
        <v>129.89785760631116</v>
      </c>
      <c r="N241" s="530">
        <v>179.20790193952109</v>
      </c>
      <c r="O241" s="530">
        <v>188.10341287508462</v>
      </c>
      <c r="P241" s="530">
        <v>130.92079108855535</v>
      </c>
      <c r="Q241" s="530">
        <v>96.025964280999261</v>
      </c>
      <c r="R241" s="530">
        <v>69.901753235110462</v>
      </c>
      <c r="S241" s="530">
        <v>11.406208434430866</v>
      </c>
      <c r="T241" s="530">
        <v>1200.2228192162941</v>
      </c>
      <c r="U241" s="530" t="s">
        <v>61</v>
      </c>
    </row>
    <row r="242" spans="1:21" ht="13.8" x14ac:dyDescent="0.3">
      <c r="A242" s="530" t="str">
        <f t="shared" si="6"/>
        <v>Conwy.2015.Visitor Numbers.SFR</v>
      </c>
      <c r="B242" s="530" t="s">
        <v>219</v>
      </c>
      <c r="C242" s="530" t="str">
        <f t="shared" si="7"/>
        <v>2015.Visitor Numbers.SFR</v>
      </c>
      <c r="D242" s="530" t="s">
        <v>234</v>
      </c>
      <c r="E242" s="530" t="s">
        <v>172</v>
      </c>
      <c r="F242" s="530" t="s">
        <v>18</v>
      </c>
      <c r="G242" s="530" t="s">
        <v>18</v>
      </c>
      <c r="H242" s="530">
        <v>23.785977272727273</v>
      </c>
      <c r="I242" s="530">
        <v>9.514390909090908</v>
      </c>
      <c r="J242" s="530">
        <v>10.571545454545454</v>
      </c>
      <c r="K242" s="530">
        <v>20.08593636363636</v>
      </c>
      <c r="L242" s="530">
        <v>15.857318181818179</v>
      </c>
      <c r="M242" s="530">
        <v>12.796855772727271</v>
      </c>
      <c r="N242" s="530">
        <v>17.443049999999999</v>
      </c>
      <c r="O242" s="530">
        <v>17.754910590909091</v>
      </c>
      <c r="P242" s="530">
        <v>10.957406863636365</v>
      </c>
      <c r="Q242" s="530">
        <v>11.100122727272728</v>
      </c>
      <c r="R242" s="530">
        <v>9.1179579545454548</v>
      </c>
      <c r="S242" s="530">
        <v>20.614513636363636</v>
      </c>
      <c r="T242" s="530">
        <v>179.5999857272727</v>
      </c>
      <c r="U242" s="530" t="s">
        <v>61</v>
      </c>
    </row>
    <row r="243" spans="1:21" ht="13.8" x14ac:dyDescent="0.3">
      <c r="A243" s="530" t="str">
        <f t="shared" si="6"/>
        <v>Conwy.2015.Visitor Numbers.Day Visitor</v>
      </c>
      <c r="B243" s="530" t="s">
        <v>219</v>
      </c>
      <c r="C243" s="530" t="str">
        <f t="shared" si="7"/>
        <v>2015.Visitor Numbers.Day Visitor</v>
      </c>
      <c r="D243" s="530" t="s">
        <v>234</v>
      </c>
      <c r="E243" s="530" t="s">
        <v>172</v>
      </c>
      <c r="F243" s="530" t="s">
        <v>71</v>
      </c>
      <c r="G243" s="530" t="s">
        <v>71</v>
      </c>
      <c r="H243" s="530">
        <v>60.565758005791913</v>
      </c>
      <c r="I243" s="530">
        <v>282.73224907867763</v>
      </c>
      <c r="J243" s="530">
        <v>287.24342636433585</v>
      </c>
      <c r="K243" s="530">
        <v>785.91955367878791</v>
      </c>
      <c r="L243" s="530">
        <v>902.81286945727857</v>
      </c>
      <c r="M243" s="530">
        <v>664.29993495020904</v>
      </c>
      <c r="N243" s="530">
        <v>1091.3680505051248</v>
      </c>
      <c r="O243" s="530">
        <v>1371.9065357379184</v>
      </c>
      <c r="P243" s="530">
        <v>744.76038469373839</v>
      </c>
      <c r="Q243" s="530">
        <v>384.82460689625822</v>
      </c>
      <c r="R243" s="530">
        <v>98.931830267477835</v>
      </c>
      <c r="S243" s="530">
        <v>35.112313272205064</v>
      </c>
      <c r="T243" s="530">
        <v>6710.4775129078034</v>
      </c>
      <c r="U243" s="530" t="s">
        <v>61</v>
      </c>
    </row>
    <row r="244" spans="1:21" ht="13.8" x14ac:dyDescent="0.3">
      <c r="A244" s="530" t="str">
        <f t="shared" si="6"/>
        <v>Conwy.2015.Visitor Numbers.Total</v>
      </c>
      <c r="B244" s="530" t="s">
        <v>219</v>
      </c>
      <c r="C244" s="530" t="str">
        <f t="shared" si="7"/>
        <v>2015.Visitor Numbers.Total</v>
      </c>
      <c r="D244" s="530" t="s">
        <v>234</v>
      </c>
      <c r="E244" s="530" t="s">
        <v>172</v>
      </c>
      <c r="F244" s="530" t="s">
        <v>54</v>
      </c>
      <c r="G244" s="530" t="s">
        <v>54</v>
      </c>
      <c r="H244" s="530">
        <v>155.02969943991761</v>
      </c>
      <c r="I244" s="530">
        <v>412.41560345559753</v>
      </c>
      <c r="J244" s="530">
        <v>481.61732190901762</v>
      </c>
      <c r="K244" s="530">
        <v>1019.1393430144204</v>
      </c>
      <c r="L244" s="530">
        <v>1187.8739650205061</v>
      </c>
      <c r="M244" s="530">
        <v>927.24409922696339</v>
      </c>
      <c r="N244" s="530">
        <v>1418.0513979112591</v>
      </c>
      <c r="O244" s="530">
        <v>1713.4168083982038</v>
      </c>
      <c r="P244" s="530">
        <v>978.40318958493026</v>
      </c>
      <c r="Q244" s="530">
        <v>599.05981794616662</v>
      </c>
      <c r="R244" s="530">
        <v>267.31505976902355</v>
      </c>
      <c r="S244" s="530">
        <v>128.56055728242853</v>
      </c>
      <c r="T244" s="530">
        <v>9288.1268629584356</v>
      </c>
      <c r="U244" s="530" t="s">
        <v>61</v>
      </c>
    </row>
    <row r="245" spans="1:21" ht="13.8" x14ac:dyDescent="0.3">
      <c r="A245" s="530" t="str">
        <f t="shared" si="6"/>
        <v>Conwy.2015.Vehicle Days.Serviced Accommodation</v>
      </c>
      <c r="B245" s="530" t="s">
        <v>219</v>
      </c>
      <c r="C245" s="530" t="str">
        <f t="shared" si="7"/>
        <v>2015.Vehicle Days.Serviced Accommodation</v>
      </c>
      <c r="D245" s="530" t="s">
        <v>234</v>
      </c>
      <c r="E245" s="530" t="s">
        <v>21</v>
      </c>
      <c r="F245" s="530" t="s">
        <v>43</v>
      </c>
      <c r="G245" s="530" t="s">
        <v>43</v>
      </c>
      <c r="H245" s="530">
        <v>22.246096447500364</v>
      </c>
      <c r="I245" s="530">
        <v>52.521639044933899</v>
      </c>
      <c r="J245" s="530">
        <v>49.675928012179156</v>
      </c>
      <c r="K245" s="530">
        <v>47.26719269199836</v>
      </c>
      <c r="L245" s="530">
        <v>69.426485448483703</v>
      </c>
      <c r="M245" s="530">
        <v>59.494059217054684</v>
      </c>
      <c r="N245" s="530">
        <v>58.551903185752288</v>
      </c>
      <c r="O245" s="530">
        <v>61.893689897683807</v>
      </c>
      <c r="P245" s="530">
        <v>46.903065038187236</v>
      </c>
      <c r="Q245" s="530">
        <v>56.219123178354884</v>
      </c>
      <c r="R245" s="530">
        <v>47.398432332036528</v>
      </c>
      <c r="S245" s="530">
        <v>26.038562676867347</v>
      </c>
      <c r="T245" s="530">
        <v>597.63617717103227</v>
      </c>
      <c r="U245" s="530" t="s">
        <v>61</v>
      </c>
    </row>
    <row r="246" spans="1:21" ht="13.8" x14ac:dyDescent="0.3">
      <c r="A246" s="530" t="str">
        <f t="shared" si="6"/>
        <v>Conwy.2015.Vehicle Days.Non-Serviced Accommodation</v>
      </c>
      <c r="B246" s="530" t="s">
        <v>219</v>
      </c>
      <c r="C246" s="530" t="str">
        <f t="shared" si="7"/>
        <v>2015.Vehicle Days.Non-Serviced Accommodation</v>
      </c>
      <c r="D246" s="530" t="s">
        <v>234</v>
      </c>
      <c r="E246" s="530" t="s">
        <v>21</v>
      </c>
      <c r="F246" s="530" t="s">
        <v>48</v>
      </c>
      <c r="G246" s="530" t="s">
        <v>48</v>
      </c>
      <c r="H246" s="530">
        <v>13.78776604887662</v>
      </c>
      <c r="I246" s="530">
        <v>21.128125442574873</v>
      </c>
      <c r="J246" s="530">
        <v>144.10531968815343</v>
      </c>
      <c r="K246" s="530">
        <v>186.70632949039725</v>
      </c>
      <c r="L246" s="530">
        <v>246.84509031026352</v>
      </c>
      <c r="M246" s="530">
        <v>235.92092120107327</v>
      </c>
      <c r="N246" s="530">
        <v>323.70342290828228</v>
      </c>
      <c r="O246" s="530">
        <v>362.95606136796403</v>
      </c>
      <c r="P246" s="530">
        <v>231.22115529603514</v>
      </c>
      <c r="Q246" s="530">
        <v>169.85711911951762</v>
      </c>
      <c r="R246" s="530">
        <v>80.380659150495461</v>
      </c>
      <c r="S246" s="530">
        <v>15.077660363036497</v>
      </c>
      <c r="T246" s="530">
        <v>2031.6896303866699</v>
      </c>
      <c r="U246" s="530" t="s">
        <v>61</v>
      </c>
    </row>
    <row r="247" spans="1:21" ht="13.8" x14ac:dyDescent="0.3">
      <c r="A247" s="530" t="str">
        <f t="shared" si="6"/>
        <v>Conwy.2015.Vehicle Days.SFR</v>
      </c>
      <c r="B247" s="530" t="s">
        <v>219</v>
      </c>
      <c r="C247" s="530" t="str">
        <f t="shared" si="7"/>
        <v>2015.Vehicle Days.SFR</v>
      </c>
      <c r="D247" s="530" t="s">
        <v>234</v>
      </c>
      <c r="E247" s="530" t="s">
        <v>21</v>
      </c>
      <c r="F247" s="530" t="s">
        <v>18</v>
      </c>
      <c r="G247" s="530" t="s">
        <v>18</v>
      </c>
      <c r="H247" s="530">
        <v>18.632348863636363</v>
      </c>
      <c r="I247" s="530">
        <v>6.2604692181818171</v>
      </c>
      <c r="J247" s="530">
        <v>7.1216977878787864</v>
      </c>
      <c r="K247" s="530">
        <v>16.992702163636363</v>
      </c>
      <c r="L247" s="530">
        <v>10.930978</v>
      </c>
      <c r="M247" s="530">
        <v>8.420331098454545</v>
      </c>
      <c r="N247" s="530">
        <v>13.663722499999999</v>
      </c>
      <c r="O247" s="530">
        <v>14.464333828060605</v>
      </c>
      <c r="P247" s="530">
        <v>7.4503061734818177</v>
      </c>
      <c r="Q247" s="530">
        <v>7.4430022927272734</v>
      </c>
      <c r="R247" s="530">
        <v>5.7996291229545438</v>
      </c>
      <c r="S247" s="530">
        <v>16.793957109090908</v>
      </c>
      <c r="T247" s="530">
        <v>133.97347815810301</v>
      </c>
      <c r="U247" s="530" t="s">
        <v>61</v>
      </c>
    </row>
    <row r="248" spans="1:21" ht="13.8" x14ac:dyDescent="0.3">
      <c r="A248" s="530" t="str">
        <f t="shared" si="6"/>
        <v>Conwy.2015.Vehicle Days.Day Visitor</v>
      </c>
      <c r="B248" s="530" t="s">
        <v>219</v>
      </c>
      <c r="C248" s="530" t="str">
        <f t="shared" si="7"/>
        <v>2015.Vehicle Days.Day Visitor</v>
      </c>
      <c r="D248" s="530" t="s">
        <v>234</v>
      </c>
      <c r="E248" s="530" t="s">
        <v>21</v>
      </c>
      <c r="F248" s="530" t="s">
        <v>71</v>
      </c>
      <c r="G248" s="530" t="s">
        <v>71</v>
      </c>
      <c r="H248" s="530">
        <v>13.324466761274222</v>
      </c>
      <c r="I248" s="530">
        <v>71.086965482638945</v>
      </c>
      <c r="J248" s="530">
        <v>72.221204343033023</v>
      </c>
      <c r="K248" s="530">
        <v>172.90230180933335</v>
      </c>
      <c r="L248" s="530">
        <v>198.61883128060128</v>
      </c>
      <c r="M248" s="530">
        <v>167.023983644624</v>
      </c>
      <c r="N248" s="530">
        <v>240.10097111112745</v>
      </c>
      <c r="O248" s="530">
        <v>301.81943786234206</v>
      </c>
      <c r="P248" s="530">
        <v>163.84728463262243</v>
      </c>
      <c r="Q248" s="530">
        <v>96.755901162487774</v>
      </c>
      <c r="R248" s="530">
        <v>24.874288752965857</v>
      </c>
      <c r="S248" s="530">
        <v>7.7247089198851144</v>
      </c>
      <c r="T248" s="530">
        <v>1530.3003457629356</v>
      </c>
      <c r="U248" s="530" t="s">
        <v>61</v>
      </c>
    </row>
    <row r="249" spans="1:21" ht="13.8" x14ac:dyDescent="0.3">
      <c r="A249" s="530" t="str">
        <f t="shared" si="6"/>
        <v>Conwy.2015.Vehicle Days.Total</v>
      </c>
      <c r="B249" s="530" t="s">
        <v>219</v>
      </c>
      <c r="C249" s="530" t="str">
        <f t="shared" si="7"/>
        <v>2015.Vehicle Days.Total</v>
      </c>
      <c r="D249" s="530" t="s">
        <v>234</v>
      </c>
      <c r="E249" s="530" t="s">
        <v>21</v>
      </c>
      <c r="F249" s="530" t="s">
        <v>54</v>
      </c>
      <c r="G249" s="530" t="s">
        <v>54</v>
      </c>
      <c r="H249" s="530">
        <v>67.990678121287573</v>
      </c>
      <c r="I249" s="530">
        <v>150.99719918832955</v>
      </c>
      <c r="J249" s="530">
        <v>273.12414983124438</v>
      </c>
      <c r="K249" s="530">
        <v>423.86852615536532</v>
      </c>
      <c r="L249" s="530">
        <v>525.82138503934846</v>
      </c>
      <c r="M249" s="530">
        <v>470.85929516120643</v>
      </c>
      <c r="N249" s="530">
        <v>636.02001970516199</v>
      </c>
      <c r="O249" s="530">
        <v>741.13352295605046</v>
      </c>
      <c r="P249" s="530">
        <v>449.42181114032667</v>
      </c>
      <c r="Q249" s="530">
        <v>330.27514575308754</v>
      </c>
      <c r="R249" s="530">
        <v>158.45300935845239</v>
      </c>
      <c r="S249" s="530">
        <v>65.634889068879872</v>
      </c>
      <c r="T249" s="530">
        <v>4293.5996314787408</v>
      </c>
      <c r="U249" s="530" t="s">
        <v>61</v>
      </c>
    </row>
    <row r="250" spans="1:21" ht="13.8" x14ac:dyDescent="0.3">
      <c r="A250" s="530" t="str">
        <f t="shared" si="6"/>
        <v>Conwy.2015.Vehicle Numbers.Serviced Accommodation</v>
      </c>
      <c r="B250" s="530" t="s">
        <v>219</v>
      </c>
      <c r="C250" s="530" t="str">
        <f t="shared" si="7"/>
        <v>2015.Vehicle Numbers.Serviced Accommodation</v>
      </c>
      <c r="D250" s="530" t="s">
        <v>234</v>
      </c>
      <c r="E250" s="530" t="s">
        <v>22</v>
      </c>
      <c r="F250" s="530" t="s">
        <v>43</v>
      </c>
      <c r="G250" s="530" t="s">
        <v>43</v>
      </c>
      <c r="H250" s="530">
        <v>14.327247097398951</v>
      </c>
      <c r="I250" s="530">
        <v>35.58369513514829</v>
      </c>
      <c r="J250" s="530">
        <v>24.023710397738107</v>
      </c>
      <c r="K250" s="530">
        <v>25.960182409055417</v>
      </c>
      <c r="L250" s="530">
        <v>36.844623465272399</v>
      </c>
      <c r="M250" s="530">
        <v>33.317160397010205</v>
      </c>
      <c r="N250" s="530">
        <v>33.685195951484772</v>
      </c>
      <c r="O250" s="530">
        <v>35.17543298278796</v>
      </c>
      <c r="P250" s="530">
        <v>23.782865729501996</v>
      </c>
      <c r="Q250" s="530">
        <v>32.762170319863962</v>
      </c>
      <c r="R250" s="530">
        <v>27.200773043932358</v>
      </c>
      <c r="S250" s="530">
        <v>15.933989287573979</v>
      </c>
      <c r="T250" s="530">
        <v>338.59704621676843</v>
      </c>
      <c r="U250" s="530" t="s">
        <v>61</v>
      </c>
    </row>
    <row r="251" spans="1:21" ht="13.8" x14ac:dyDescent="0.3">
      <c r="A251" s="530" t="str">
        <f t="shared" si="6"/>
        <v>Conwy.2015.Vehicle Numbers.Non-Serviced Accommodation</v>
      </c>
      <c r="B251" s="530" t="s">
        <v>219</v>
      </c>
      <c r="C251" s="530" t="str">
        <f t="shared" si="7"/>
        <v>2015.Vehicle Numbers.Non-Serviced Accommodation</v>
      </c>
      <c r="D251" s="530" t="s">
        <v>234</v>
      </c>
      <c r="E251" s="530" t="s">
        <v>22</v>
      </c>
      <c r="F251" s="530" t="s">
        <v>48</v>
      </c>
      <c r="G251" s="530" t="s">
        <v>48</v>
      </c>
      <c r="H251" s="530">
        <v>4.0552253084931227</v>
      </c>
      <c r="I251" s="530">
        <v>5.2820313606437184</v>
      </c>
      <c r="J251" s="530">
        <v>30.021941601698636</v>
      </c>
      <c r="K251" s="530">
        <v>29.172863982874574</v>
      </c>
      <c r="L251" s="530">
        <v>35.774650769603412</v>
      </c>
      <c r="M251" s="530">
        <v>33.702988743010465</v>
      </c>
      <c r="N251" s="530">
        <v>45.592031395532715</v>
      </c>
      <c r="O251" s="530">
        <v>47.75737649578474</v>
      </c>
      <c r="P251" s="530">
        <v>33.510312361744219</v>
      </c>
      <c r="Q251" s="530">
        <v>24.265302731359657</v>
      </c>
      <c r="R251" s="530">
        <v>17.862368700110103</v>
      </c>
      <c r="S251" s="530">
        <v>2.692439350542231</v>
      </c>
      <c r="T251" s="530">
        <v>309.68953280139766</v>
      </c>
      <c r="U251" s="530" t="s">
        <v>61</v>
      </c>
    </row>
    <row r="252" spans="1:21" ht="13.8" x14ac:dyDescent="0.3">
      <c r="A252" s="530" t="str">
        <f t="shared" si="6"/>
        <v>Conwy.2015.Vehicle Numbers.SFR</v>
      </c>
      <c r="B252" s="530" t="s">
        <v>219</v>
      </c>
      <c r="C252" s="530" t="str">
        <f t="shared" si="7"/>
        <v>2015.Vehicle Numbers.SFR</v>
      </c>
      <c r="D252" s="530" t="s">
        <v>234</v>
      </c>
      <c r="E252" s="530" t="s">
        <v>22</v>
      </c>
      <c r="F252" s="530" t="s">
        <v>18</v>
      </c>
      <c r="G252" s="530" t="s">
        <v>18</v>
      </c>
      <c r="H252" s="530">
        <v>7.4529395454545444</v>
      </c>
      <c r="I252" s="530">
        <v>2.9811758181818178</v>
      </c>
      <c r="J252" s="530">
        <v>3.3124175757575753</v>
      </c>
      <c r="K252" s="530">
        <v>6.2935933939393927</v>
      </c>
      <c r="L252" s="530">
        <v>4.9686263636363623</v>
      </c>
      <c r="M252" s="530">
        <v>4.0096814754545447</v>
      </c>
      <c r="N252" s="530">
        <v>5.4654889999999998</v>
      </c>
      <c r="O252" s="530">
        <v>5.5632053184848482</v>
      </c>
      <c r="P252" s="530">
        <v>3.4333208172727274</v>
      </c>
      <c r="Q252" s="530">
        <v>3.4780384545454543</v>
      </c>
      <c r="R252" s="530">
        <v>2.8569601590909088</v>
      </c>
      <c r="S252" s="530">
        <v>6.4592142727272721</v>
      </c>
      <c r="T252" s="530">
        <v>56.274662194545456</v>
      </c>
      <c r="U252" s="530" t="s">
        <v>61</v>
      </c>
    </row>
    <row r="253" spans="1:21" ht="13.8" x14ac:dyDescent="0.3">
      <c r="A253" s="530" t="str">
        <f t="shared" si="6"/>
        <v>Conwy.2015.Vehicle Numbers.Day Visitor</v>
      </c>
      <c r="B253" s="530" t="s">
        <v>219</v>
      </c>
      <c r="C253" s="530" t="str">
        <f t="shared" si="7"/>
        <v>2015.Vehicle Numbers.Day Visitor</v>
      </c>
      <c r="D253" s="530" t="s">
        <v>234</v>
      </c>
      <c r="E253" s="530" t="s">
        <v>22</v>
      </c>
      <c r="F253" s="530" t="s">
        <v>71</v>
      </c>
      <c r="G253" s="530" t="s">
        <v>71</v>
      </c>
      <c r="H253" s="530">
        <v>13.324466761274222</v>
      </c>
      <c r="I253" s="530">
        <v>71.086965482638945</v>
      </c>
      <c r="J253" s="530">
        <v>72.221204343033023</v>
      </c>
      <c r="K253" s="530">
        <v>172.90230180933335</v>
      </c>
      <c r="L253" s="530">
        <v>198.61883128060128</v>
      </c>
      <c r="M253" s="530">
        <v>167.023983644624</v>
      </c>
      <c r="N253" s="530">
        <v>240.10097111112745</v>
      </c>
      <c r="O253" s="530">
        <v>301.81943786234206</v>
      </c>
      <c r="P253" s="530">
        <v>163.84728463262243</v>
      </c>
      <c r="Q253" s="530">
        <v>96.755901162487774</v>
      </c>
      <c r="R253" s="530">
        <v>24.874288752965857</v>
      </c>
      <c r="S253" s="530">
        <v>7.7247089198851144</v>
      </c>
      <c r="T253" s="530">
        <v>1530.3003457629356</v>
      </c>
      <c r="U253" s="530" t="s">
        <v>61</v>
      </c>
    </row>
    <row r="254" spans="1:21" ht="13.8" x14ac:dyDescent="0.3">
      <c r="A254" s="530" t="str">
        <f t="shared" si="6"/>
        <v>Conwy.2015.Vehicle Numbers.Total</v>
      </c>
      <c r="B254" s="530" t="s">
        <v>219</v>
      </c>
      <c r="C254" s="530" t="str">
        <f t="shared" si="7"/>
        <v>2015.Vehicle Numbers.Total</v>
      </c>
      <c r="D254" s="530" t="s">
        <v>234</v>
      </c>
      <c r="E254" s="530" t="s">
        <v>22</v>
      </c>
      <c r="F254" s="530" t="s">
        <v>54</v>
      </c>
      <c r="G254" s="530" t="s">
        <v>54</v>
      </c>
      <c r="H254" s="530">
        <v>39.159878712620838</v>
      </c>
      <c r="I254" s="530">
        <v>114.93386779661277</v>
      </c>
      <c r="J254" s="530">
        <v>129.57927391822733</v>
      </c>
      <c r="K254" s="530">
        <v>234.32894159520274</v>
      </c>
      <c r="L254" s="530">
        <v>276.20673187911348</v>
      </c>
      <c r="M254" s="530">
        <v>238.05381426009922</v>
      </c>
      <c r="N254" s="530">
        <v>324.84368745814493</v>
      </c>
      <c r="O254" s="530">
        <v>390.31545265939963</v>
      </c>
      <c r="P254" s="530">
        <v>224.57378354114138</v>
      </c>
      <c r="Q254" s="530">
        <v>157.26141266825687</v>
      </c>
      <c r="R254" s="530">
        <v>72.794390656099225</v>
      </c>
      <c r="S254" s="530">
        <v>32.8103518307286</v>
      </c>
      <c r="T254" s="530">
        <v>2234.8615869756463</v>
      </c>
      <c r="U254" s="530" t="s">
        <v>61</v>
      </c>
    </row>
    <row r="255" spans="1:21" ht="13.8" x14ac:dyDescent="0.3">
      <c r="A255" s="530" t="str">
        <f t="shared" si="6"/>
        <v>Conwy.2015.Accommodation.Serviced Accommodation</v>
      </c>
      <c r="B255" s="530" t="s">
        <v>219</v>
      </c>
      <c r="C255" s="530" t="str">
        <f t="shared" si="7"/>
        <v>2015.Accommodation.Serviced Accommodation</v>
      </c>
      <c r="D255" s="530" t="s">
        <v>234</v>
      </c>
      <c r="E255" s="530" t="s">
        <v>23</v>
      </c>
      <c r="F255" s="530" t="s">
        <v>43</v>
      </c>
      <c r="G255" s="530" t="s">
        <v>43</v>
      </c>
      <c r="H255" s="530">
        <v>9187</v>
      </c>
      <c r="I255" s="530">
        <v>10064</v>
      </c>
      <c r="J255" s="530">
        <v>11196</v>
      </c>
      <c r="K255" s="530">
        <v>11680</v>
      </c>
      <c r="L255" s="530">
        <v>11698</v>
      </c>
      <c r="M255" s="530">
        <v>11710</v>
      </c>
      <c r="N255" s="530">
        <v>11710</v>
      </c>
      <c r="O255" s="530">
        <v>11710</v>
      </c>
      <c r="P255" s="530">
        <v>11704</v>
      </c>
      <c r="Q255" s="530">
        <v>11520</v>
      </c>
      <c r="R255" s="530">
        <v>11010</v>
      </c>
      <c r="S255" s="530">
        <v>9990</v>
      </c>
      <c r="T255" s="530">
        <v>11710</v>
      </c>
      <c r="U255" s="530" t="s">
        <v>58</v>
      </c>
    </row>
    <row r="256" spans="1:21" ht="13.8" x14ac:dyDescent="0.3">
      <c r="A256" s="530" t="str">
        <f t="shared" si="6"/>
        <v>Conwy.2015.Accommodation.Non-Serviced Accommodation</v>
      </c>
      <c r="B256" s="530" t="s">
        <v>219</v>
      </c>
      <c r="C256" s="530" t="str">
        <f t="shared" si="7"/>
        <v>2015.Accommodation.Non-Serviced Accommodation</v>
      </c>
      <c r="D256" s="530" t="s">
        <v>234</v>
      </c>
      <c r="E256" s="530" t="s">
        <v>23</v>
      </c>
      <c r="F256" s="530" t="s">
        <v>48</v>
      </c>
      <c r="G256" s="530" t="s">
        <v>48</v>
      </c>
      <c r="H256" s="530">
        <v>5441</v>
      </c>
      <c r="I256" s="530">
        <v>5861</v>
      </c>
      <c r="J256" s="530">
        <v>41452</v>
      </c>
      <c r="K256" s="530">
        <v>48868</v>
      </c>
      <c r="L256" s="530">
        <v>49375</v>
      </c>
      <c r="M256" s="530">
        <v>49375</v>
      </c>
      <c r="N256" s="530">
        <v>49380</v>
      </c>
      <c r="O256" s="530">
        <v>49380</v>
      </c>
      <c r="P256" s="530">
        <v>49375</v>
      </c>
      <c r="Q256" s="530">
        <v>49101</v>
      </c>
      <c r="R256" s="530">
        <v>30309</v>
      </c>
      <c r="S256" s="530">
        <v>8039</v>
      </c>
      <c r="T256" s="530">
        <v>49380</v>
      </c>
      <c r="U256" s="530" t="s">
        <v>58</v>
      </c>
    </row>
    <row r="257" spans="1:21" ht="13.8" x14ac:dyDescent="0.3">
      <c r="A257" s="530" t="str">
        <f t="shared" si="6"/>
        <v>Conwy.2015.Accommodation.Total</v>
      </c>
      <c r="B257" s="530" t="s">
        <v>219</v>
      </c>
      <c r="C257" s="530" t="str">
        <f t="shared" si="7"/>
        <v>2015.Accommodation.Total</v>
      </c>
      <c r="D257" s="530" t="s">
        <v>234</v>
      </c>
      <c r="E257" s="530" t="s">
        <v>23</v>
      </c>
      <c r="F257" s="530" t="s">
        <v>54</v>
      </c>
      <c r="G257" s="530" t="s">
        <v>54</v>
      </c>
      <c r="H257" s="530">
        <v>14628</v>
      </c>
      <c r="I257" s="530">
        <v>15925</v>
      </c>
      <c r="J257" s="530">
        <v>52648</v>
      </c>
      <c r="K257" s="530">
        <v>60548</v>
      </c>
      <c r="L257" s="530">
        <v>61073</v>
      </c>
      <c r="M257" s="530">
        <v>61085</v>
      </c>
      <c r="N257" s="530">
        <v>61090</v>
      </c>
      <c r="O257" s="530">
        <v>61090</v>
      </c>
      <c r="P257" s="530">
        <v>61079</v>
      </c>
      <c r="Q257" s="530">
        <v>60621</v>
      </c>
      <c r="R257" s="530">
        <v>41319</v>
      </c>
      <c r="S257" s="530">
        <v>18029</v>
      </c>
      <c r="T257" s="530">
        <v>61090</v>
      </c>
      <c r="U257" s="530" t="s">
        <v>58</v>
      </c>
    </row>
    <row r="258" spans="1:21" ht="13.8" x14ac:dyDescent="0.3">
      <c r="A258" s="530" t="str">
        <f t="shared" si="6"/>
        <v>Conwy.2015.Economic Impact.Total</v>
      </c>
      <c r="B258" s="530" t="s">
        <v>219</v>
      </c>
      <c r="C258" s="530" t="str">
        <f t="shared" si="7"/>
        <v>2015.Economic Impact.Total</v>
      </c>
      <c r="D258" s="530" t="s">
        <v>234</v>
      </c>
      <c r="E258" s="530" t="s">
        <v>17</v>
      </c>
      <c r="F258" s="530" t="s">
        <v>54</v>
      </c>
      <c r="G258" s="530" t="s">
        <v>54</v>
      </c>
      <c r="H258" s="530">
        <v>14733.941850653247</v>
      </c>
      <c r="I258" s="530">
        <v>29798.367669675194</v>
      </c>
      <c r="J258" s="530">
        <v>46889.991712068382</v>
      </c>
      <c r="K258" s="530">
        <v>79822.496656921765</v>
      </c>
      <c r="L258" s="530">
        <v>98653.037899782721</v>
      </c>
      <c r="M258" s="530">
        <v>83118.626256446965</v>
      </c>
      <c r="N258" s="530">
        <v>125022.68092002615</v>
      </c>
      <c r="O258" s="530">
        <v>147047.50097155292</v>
      </c>
      <c r="P258" s="530">
        <v>91092.02797118797</v>
      </c>
      <c r="Q258" s="530">
        <v>58390.484511246774</v>
      </c>
      <c r="R258" s="530">
        <v>30262.149509297531</v>
      </c>
      <c r="S258" s="530">
        <v>14943.062644034264</v>
      </c>
      <c r="T258" s="530">
        <v>819774.3685728939</v>
      </c>
      <c r="U258" s="530" t="s">
        <v>57</v>
      </c>
    </row>
    <row r="259" spans="1:21" ht="13.8" x14ac:dyDescent="0.3">
      <c r="A259" s="530" t="str">
        <f t="shared" si="6"/>
        <v>Conwy.2016.Economic Impact.Indirect Expenditure</v>
      </c>
      <c r="B259" s="530" t="s">
        <v>219</v>
      </c>
      <c r="C259" s="530" t="str">
        <f t="shared" si="7"/>
        <v>2016.Economic Impact.Indirect Expenditure</v>
      </c>
      <c r="D259" s="530" t="s">
        <v>235</v>
      </c>
      <c r="E259" s="530" t="s">
        <v>17</v>
      </c>
      <c r="F259" s="530" t="s">
        <v>45</v>
      </c>
      <c r="G259" s="530" t="s">
        <v>45</v>
      </c>
      <c r="H259" s="530">
        <v>3800.7215553453639</v>
      </c>
      <c r="I259" s="530">
        <v>6862.1619195946541</v>
      </c>
      <c r="J259" s="530">
        <v>13242.700075923196</v>
      </c>
      <c r="K259" s="530">
        <v>18804.08155532958</v>
      </c>
      <c r="L259" s="530">
        <v>21710.69497571692</v>
      </c>
      <c r="M259" s="530">
        <v>23106.002308973533</v>
      </c>
      <c r="N259" s="530">
        <v>31426.562548012163</v>
      </c>
      <c r="O259" s="530">
        <v>36215.093251195896</v>
      </c>
      <c r="P259" s="530">
        <v>23045.471264388085</v>
      </c>
      <c r="Q259" s="530">
        <v>13873.685068458182</v>
      </c>
      <c r="R259" s="530">
        <v>7499.3124595298759</v>
      </c>
      <c r="S259" s="530">
        <v>4623.796607749231</v>
      </c>
      <c r="T259" s="530">
        <v>204210.28359021666</v>
      </c>
      <c r="U259" s="530" t="s">
        <v>57</v>
      </c>
    </row>
    <row r="260" spans="1:21" ht="13.8" x14ac:dyDescent="0.3">
      <c r="A260" s="530" t="str">
        <f t="shared" si="6"/>
        <v>Conwy.2016.Economic Impact.Direct Revenue</v>
      </c>
      <c r="B260" s="530" t="s">
        <v>219</v>
      </c>
      <c r="C260" s="530" t="str">
        <f t="shared" si="7"/>
        <v>2016.Economic Impact.Direct Revenue</v>
      </c>
      <c r="D260" s="530" t="s">
        <v>235</v>
      </c>
      <c r="E260" s="530" t="s">
        <v>17</v>
      </c>
      <c r="F260" s="530" t="s">
        <v>46</v>
      </c>
      <c r="G260" s="530" t="s">
        <v>46</v>
      </c>
      <c r="H260" s="530">
        <v>10385.373059212716</v>
      </c>
      <c r="I260" s="530">
        <v>17954.870360726745</v>
      </c>
      <c r="J260" s="530">
        <v>33541.863513397802</v>
      </c>
      <c r="K260" s="530">
        <v>47309.760045479539</v>
      </c>
      <c r="L260" s="530">
        <v>54837.98024851222</v>
      </c>
      <c r="M260" s="530">
        <v>57788.979722151067</v>
      </c>
      <c r="N260" s="530">
        <v>78136.020867374478</v>
      </c>
      <c r="O260" s="530">
        <v>90186.318663150363</v>
      </c>
      <c r="P260" s="530">
        <v>58063.658196807039</v>
      </c>
      <c r="Q260" s="530">
        <v>34838.099844534852</v>
      </c>
      <c r="R260" s="530">
        <v>19872.966376002729</v>
      </c>
      <c r="S260" s="530">
        <v>12804.535982013829</v>
      </c>
      <c r="T260" s="530">
        <v>515720.42687936337</v>
      </c>
      <c r="U260" s="530" t="s">
        <v>57</v>
      </c>
    </row>
    <row r="261" spans="1:21" ht="13.8" x14ac:dyDescent="0.3">
      <c r="A261" s="530" t="str">
        <f t="shared" si="6"/>
        <v>Conwy.2016.Economic Impact.VAT</v>
      </c>
      <c r="B261" s="530" t="s">
        <v>219</v>
      </c>
      <c r="C261" s="530" t="str">
        <f t="shared" si="7"/>
        <v>2016.Economic Impact.VAT</v>
      </c>
      <c r="D261" s="530" t="s">
        <v>235</v>
      </c>
      <c r="E261" s="530" t="s">
        <v>17</v>
      </c>
      <c r="F261" s="530" t="s">
        <v>47</v>
      </c>
      <c r="G261" s="530" t="s">
        <v>47</v>
      </c>
      <c r="H261" s="530">
        <v>2077.0746118425432</v>
      </c>
      <c r="I261" s="530">
        <v>3590.9740721453495</v>
      </c>
      <c r="J261" s="530">
        <v>6708.3727026795605</v>
      </c>
      <c r="K261" s="530">
        <v>9461.9520090959068</v>
      </c>
      <c r="L261" s="530">
        <v>10967.596049702444</v>
      </c>
      <c r="M261" s="530">
        <v>11557.795944430214</v>
      </c>
      <c r="N261" s="530">
        <v>15627.204173474895</v>
      </c>
      <c r="O261" s="530">
        <v>18037.263732630072</v>
      </c>
      <c r="P261" s="530">
        <v>11612.731639361407</v>
      </c>
      <c r="Q261" s="530">
        <v>6967.6199689069726</v>
      </c>
      <c r="R261" s="530">
        <v>3974.5932752005456</v>
      </c>
      <c r="S261" s="530">
        <v>2560.9071964027662</v>
      </c>
      <c r="T261" s="530">
        <v>103144.08537587267</v>
      </c>
      <c r="U261" s="530" t="s">
        <v>57</v>
      </c>
    </row>
    <row r="262" spans="1:21" ht="13.8" x14ac:dyDescent="0.3">
      <c r="A262" s="530" t="str">
        <f t="shared" si="6"/>
        <v>Conwy.2016.Economic Impact.Serviced Accommodation</v>
      </c>
      <c r="B262" s="530" t="s">
        <v>219</v>
      </c>
      <c r="C262" s="530" t="str">
        <f t="shared" si="7"/>
        <v>2016.Economic Impact.Serviced Accommodation</v>
      </c>
      <c r="D262" s="530" t="s">
        <v>235</v>
      </c>
      <c r="E262" s="530" t="s">
        <v>17</v>
      </c>
      <c r="F262" s="530" t="s">
        <v>43</v>
      </c>
      <c r="G262" s="530" t="s">
        <v>43</v>
      </c>
      <c r="H262" s="530">
        <v>9331.6444970527427</v>
      </c>
      <c r="I262" s="530">
        <v>11796.365939516372</v>
      </c>
      <c r="J262" s="530">
        <v>11497.710502670971</v>
      </c>
      <c r="K262" s="530">
        <v>13578.604046797278</v>
      </c>
      <c r="L262" s="530">
        <v>18288.934740489894</v>
      </c>
      <c r="M262" s="530">
        <v>14125.281282036853</v>
      </c>
      <c r="N262" s="530">
        <v>18089.141619719205</v>
      </c>
      <c r="O262" s="530">
        <v>23544.913324856665</v>
      </c>
      <c r="P262" s="530">
        <v>19748.074982598093</v>
      </c>
      <c r="Q262" s="530">
        <v>11303.347438361063</v>
      </c>
      <c r="R262" s="530">
        <v>13419.6738207911</v>
      </c>
      <c r="S262" s="530">
        <v>12686.136729674115</v>
      </c>
      <c r="T262" s="530">
        <v>177409.82892456435</v>
      </c>
      <c r="U262" s="530" t="s">
        <v>57</v>
      </c>
    </row>
    <row r="263" spans="1:21" ht="13.8" x14ac:dyDescent="0.3">
      <c r="A263" s="530" t="str">
        <f t="shared" si="6"/>
        <v>Conwy.2016.Economic Impact.Non-Serviced Accommodation</v>
      </c>
      <c r="B263" s="530" t="s">
        <v>219</v>
      </c>
      <c r="C263" s="530" t="str">
        <f t="shared" si="7"/>
        <v>2016.Economic Impact.Non-Serviced Accommodation</v>
      </c>
      <c r="D263" s="530" t="s">
        <v>235</v>
      </c>
      <c r="E263" s="530" t="s">
        <v>17</v>
      </c>
      <c r="F263" s="530" t="s">
        <v>48</v>
      </c>
      <c r="G263" s="530" t="s">
        <v>48</v>
      </c>
      <c r="H263" s="530">
        <v>2292.034528919291</v>
      </c>
      <c r="I263" s="530">
        <v>3217.0273712875805</v>
      </c>
      <c r="J263" s="530">
        <v>25443.874109774584</v>
      </c>
      <c r="K263" s="530">
        <v>31076.301362355</v>
      </c>
      <c r="L263" s="530">
        <v>31476.438455652744</v>
      </c>
      <c r="M263" s="530">
        <v>44392.353924337949</v>
      </c>
      <c r="N263" s="530">
        <v>57407.712478131973</v>
      </c>
      <c r="O263" s="530">
        <v>54958.931078970832</v>
      </c>
      <c r="P263" s="530">
        <v>38783.772664568954</v>
      </c>
      <c r="Q263" s="530">
        <v>25624.641703243051</v>
      </c>
      <c r="R263" s="530">
        <v>12583.355806483238</v>
      </c>
      <c r="S263" s="530">
        <v>3785.3114431349982</v>
      </c>
      <c r="T263" s="530">
        <v>331041.75492686027</v>
      </c>
      <c r="U263" s="530" t="s">
        <v>57</v>
      </c>
    </row>
    <row r="264" spans="1:21" ht="13.8" x14ac:dyDescent="0.3">
      <c r="A264" s="530" t="str">
        <f t="shared" si="6"/>
        <v>Conwy.2016.Economic Impact.SFR</v>
      </c>
      <c r="B264" s="530" t="s">
        <v>219</v>
      </c>
      <c r="C264" s="530" t="str">
        <f t="shared" si="7"/>
        <v>2016.Economic Impact.SFR</v>
      </c>
      <c r="D264" s="530" t="s">
        <v>235</v>
      </c>
      <c r="E264" s="530" t="s">
        <v>17</v>
      </c>
      <c r="F264" s="530" t="s">
        <v>18</v>
      </c>
      <c r="G264" s="530" t="s">
        <v>18</v>
      </c>
      <c r="H264" s="530">
        <v>1904.605846986799</v>
      </c>
      <c r="I264" s="530">
        <v>639.94756458756444</v>
      </c>
      <c r="J264" s="530">
        <v>727.9826792927322</v>
      </c>
      <c r="K264" s="530">
        <v>1737.0005324519605</v>
      </c>
      <c r="L264" s="530">
        <v>1117.368763565589</v>
      </c>
      <c r="M264" s="530">
        <v>860.72947437027426</v>
      </c>
      <c r="N264" s="530">
        <v>1396.7109544569862</v>
      </c>
      <c r="O264" s="530">
        <v>1478.5497514732899</v>
      </c>
      <c r="P264" s="530">
        <v>761.57315450167891</v>
      </c>
      <c r="Q264" s="530">
        <v>760.82654900966008</v>
      </c>
      <c r="R264" s="530">
        <v>592.84031330542416</v>
      </c>
      <c r="S264" s="530">
        <v>1716.6847367507685</v>
      </c>
      <c r="T264" s="530">
        <v>13694.820320752728</v>
      </c>
      <c r="U264" s="530" t="s">
        <v>57</v>
      </c>
    </row>
    <row r="265" spans="1:21" ht="13.8" x14ac:dyDescent="0.3">
      <c r="A265" s="530" t="str">
        <f t="shared" ref="A265:A328" si="8">B265&amp;"."&amp;D265&amp;"."&amp;E265&amp;"."&amp;F265</f>
        <v>Conwy.2016.Economic Impact.Day Visitor</v>
      </c>
      <c r="B265" s="530" t="s">
        <v>219</v>
      </c>
      <c r="C265" s="530" t="str">
        <f t="shared" ref="C265:C328" si="9">D265&amp;"."&amp;E265&amp;"."&amp;F265</f>
        <v>2016.Economic Impact.Day Visitor</v>
      </c>
      <c r="D265" s="530" t="s">
        <v>235</v>
      </c>
      <c r="E265" s="530" t="s">
        <v>17</v>
      </c>
      <c r="F265" s="530" t="s">
        <v>71</v>
      </c>
      <c r="G265" s="530" t="s">
        <v>71</v>
      </c>
      <c r="H265" s="530">
        <v>2734.8843534417888</v>
      </c>
      <c r="I265" s="530">
        <v>12754.66547707523</v>
      </c>
      <c r="J265" s="530">
        <v>15823.369000262273</v>
      </c>
      <c r="K265" s="530">
        <v>29183.88766830078</v>
      </c>
      <c r="L265" s="530">
        <v>36633.52931422335</v>
      </c>
      <c r="M265" s="530">
        <v>33074.413294809725</v>
      </c>
      <c r="N265" s="530">
        <v>48296.222536553367</v>
      </c>
      <c r="O265" s="530">
        <v>64456.281491675545</v>
      </c>
      <c r="P265" s="530">
        <v>33428.440298887806</v>
      </c>
      <c r="Q265" s="530">
        <v>17990.589191286235</v>
      </c>
      <c r="R265" s="530">
        <v>4751.0021701533888</v>
      </c>
      <c r="S265" s="530">
        <v>1801.1068766059425</v>
      </c>
      <c r="T265" s="530">
        <v>300928.39167327539</v>
      </c>
      <c r="U265" s="530" t="s">
        <v>57</v>
      </c>
    </row>
    <row r="266" spans="1:21" ht="13.8" x14ac:dyDescent="0.3">
      <c r="A266" s="530" t="str">
        <f t="shared" si="8"/>
        <v>Conwy.2016.Economic Impact.Accommodation</v>
      </c>
      <c r="B266" s="530" t="s">
        <v>219</v>
      </c>
      <c r="C266" s="530" t="str">
        <f t="shared" si="9"/>
        <v>2016.Economic Impact.Accommodation</v>
      </c>
      <c r="D266" s="530" t="s">
        <v>235</v>
      </c>
      <c r="E266" s="530" t="s">
        <v>17</v>
      </c>
      <c r="F266" s="530" t="s">
        <v>23</v>
      </c>
      <c r="G266" s="530" t="s">
        <v>23</v>
      </c>
      <c r="H266" s="530">
        <v>4155.6374151989694</v>
      </c>
      <c r="I266" s="530">
        <v>5380.9218278443486</v>
      </c>
      <c r="J266" s="530">
        <v>7395.8970310283958</v>
      </c>
      <c r="K266" s="530">
        <v>8271.8290777007205</v>
      </c>
      <c r="L266" s="530">
        <v>10076.18699123401</v>
      </c>
      <c r="M266" s="530">
        <v>10142.822801198467</v>
      </c>
      <c r="N266" s="530">
        <v>15738.519641253324</v>
      </c>
      <c r="O266" s="530">
        <v>18431.794976425259</v>
      </c>
      <c r="P266" s="530">
        <v>15270.985309345542</v>
      </c>
      <c r="Q266" s="530">
        <v>6750.8497929546002</v>
      </c>
      <c r="R266" s="530">
        <v>6792.9315148145506</v>
      </c>
      <c r="S266" s="530">
        <v>5776.2827609065534</v>
      </c>
      <c r="T266" s="530">
        <v>114184.65913990475</v>
      </c>
      <c r="U266" s="530" t="s">
        <v>57</v>
      </c>
    </row>
    <row r="267" spans="1:21" ht="13.8" x14ac:dyDescent="0.3">
      <c r="A267" s="530" t="str">
        <f t="shared" si="8"/>
        <v>Conwy.2016.Economic Impact.Food &amp; Drink</v>
      </c>
      <c r="B267" s="530" t="s">
        <v>219</v>
      </c>
      <c r="C267" s="530" t="str">
        <f t="shared" si="9"/>
        <v>2016.Economic Impact.Food &amp; Drink</v>
      </c>
      <c r="D267" s="530" t="s">
        <v>235</v>
      </c>
      <c r="E267" s="530" t="s">
        <v>17</v>
      </c>
      <c r="F267" s="530" t="s">
        <v>49</v>
      </c>
      <c r="G267" s="530" t="s">
        <v>49</v>
      </c>
      <c r="H267" s="530">
        <v>1931.8768469199233</v>
      </c>
      <c r="I267" s="530">
        <v>3338.7674665661589</v>
      </c>
      <c r="J267" s="530">
        <v>7934.0253418878656</v>
      </c>
      <c r="K267" s="530">
        <v>11476.423205261961</v>
      </c>
      <c r="L267" s="530">
        <v>13139.436554671573</v>
      </c>
      <c r="M267" s="530">
        <v>14174.802571562421</v>
      </c>
      <c r="N267" s="530">
        <v>18417.31928425566</v>
      </c>
      <c r="O267" s="530">
        <v>20677.782226731786</v>
      </c>
      <c r="P267" s="530">
        <v>12770.261627443642</v>
      </c>
      <c r="Q267" s="530">
        <v>8609.1447943238727</v>
      </c>
      <c r="R267" s="530">
        <v>4243.0613740127774</v>
      </c>
      <c r="S267" s="530">
        <v>2236.6240138321559</v>
      </c>
      <c r="T267" s="530">
        <v>118949.5253074698</v>
      </c>
      <c r="U267" s="530" t="s">
        <v>57</v>
      </c>
    </row>
    <row r="268" spans="1:21" ht="13.8" x14ac:dyDescent="0.3">
      <c r="A268" s="530" t="str">
        <f t="shared" si="8"/>
        <v>Conwy.2016.Economic Impact.Recreation</v>
      </c>
      <c r="B268" s="530" t="s">
        <v>219</v>
      </c>
      <c r="C268" s="530" t="str">
        <f t="shared" si="9"/>
        <v>2016.Economic Impact.Recreation</v>
      </c>
      <c r="D268" s="530" t="s">
        <v>235</v>
      </c>
      <c r="E268" s="530" t="s">
        <v>17</v>
      </c>
      <c r="F268" s="530" t="s">
        <v>50</v>
      </c>
      <c r="G268" s="530" t="s">
        <v>50</v>
      </c>
      <c r="H268" s="530">
        <v>599.04354628922181</v>
      </c>
      <c r="I268" s="530">
        <v>1056.0123721490932</v>
      </c>
      <c r="J268" s="530">
        <v>2655.0748945473033</v>
      </c>
      <c r="K268" s="530">
        <v>3687.4403243057595</v>
      </c>
      <c r="L268" s="530">
        <v>3888.744228367927</v>
      </c>
      <c r="M268" s="530">
        <v>4838.3140935875317</v>
      </c>
      <c r="N268" s="530">
        <v>5880.4180075920422</v>
      </c>
      <c r="O268" s="530">
        <v>6197.288675449181</v>
      </c>
      <c r="P268" s="530">
        <v>3867.6009242034033</v>
      </c>
      <c r="Q268" s="530">
        <v>2502.4905597648803</v>
      </c>
      <c r="R268" s="530">
        <v>1305.4264979839613</v>
      </c>
      <c r="S268" s="530">
        <v>728.56891430136295</v>
      </c>
      <c r="T268" s="530">
        <v>37206.423038541674</v>
      </c>
      <c r="U268" s="530" t="s">
        <v>57</v>
      </c>
    </row>
    <row r="269" spans="1:21" ht="13.8" x14ac:dyDescent="0.3">
      <c r="A269" s="530" t="str">
        <f t="shared" si="8"/>
        <v>Conwy.2016.Economic Impact.Shopping</v>
      </c>
      <c r="B269" s="530" t="s">
        <v>219</v>
      </c>
      <c r="C269" s="530" t="str">
        <f t="shared" si="9"/>
        <v>2016.Economic Impact.Shopping</v>
      </c>
      <c r="D269" s="530" t="s">
        <v>235</v>
      </c>
      <c r="E269" s="530" t="s">
        <v>17</v>
      </c>
      <c r="F269" s="530" t="s">
        <v>51</v>
      </c>
      <c r="G269" s="530" t="s">
        <v>51</v>
      </c>
      <c r="H269" s="530">
        <v>2831.5586438659602</v>
      </c>
      <c r="I269" s="530">
        <v>6472.5342568500528</v>
      </c>
      <c r="J269" s="530">
        <v>11773.814892248645</v>
      </c>
      <c r="K269" s="530">
        <v>18325.194670932193</v>
      </c>
      <c r="L269" s="530">
        <v>21483.477923246963</v>
      </c>
      <c r="M269" s="530">
        <v>21752.669720617334</v>
      </c>
      <c r="N269" s="530">
        <v>29239.045319913155</v>
      </c>
      <c r="O269" s="530">
        <v>34946.712883462744</v>
      </c>
      <c r="P269" s="530">
        <v>20159.784507125758</v>
      </c>
      <c r="Q269" s="530">
        <v>12993.144207499403</v>
      </c>
      <c r="R269" s="530">
        <v>5617.3060319613669</v>
      </c>
      <c r="S269" s="530">
        <v>3053.6108606780099</v>
      </c>
      <c r="T269" s="530">
        <v>188648.85391840161</v>
      </c>
      <c r="U269" s="530" t="s">
        <v>57</v>
      </c>
    </row>
    <row r="270" spans="1:21" ht="13.8" x14ac:dyDescent="0.3">
      <c r="A270" s="530" t="str">
        <f t="shared" si="8"/>
        <v>Conwy.2016.Economic Impact.Transport</v>
      </c>
      <c r="B270" s="530" t="s">
        <v>219</v>
      </c>
      <c r="C270" s="530" t="str">
        <f t="shared" si="9"/>
        <v>2016.Economic Impact.Transport</v>
      </c>
      <c r="D270" s="530" t="s">
        <v>235</v>
      </c>
      <c r="E270" s="530" t="s">
        <v>17</v>
      </c>
      <c r="F270" s="530" t="s">
        <v>52</v>
      </c>
      <c r="G270" s="530" t="s">
        <v>52</v>
      </c>
      <c r="H270" s="530">
        <v>867.25660693864108</v>
      </c>
      <c r="I270" s="530">
        <v>1706.6344373170925</v>
      </c>
      <c r="J270" s="530">
        <v>3783.0513536855915</v>
      </c>
      <c r="K270" s="530">
        <v>5548.8727672789</v>
      </c>
      <c r="L270" s="530">
        <v>6250.1345509917446</v>
      </c>
      <c r="M270" s="530">
        <v>6880.3705351853114</v>
      </c>
      <c r="N270" s="530">
        <v>8860.718614360283</v>
      </c>
      <c r="O270" s="530">
        <v>9932.7399010813933</v>
      </c>
      <c r="P270" s="530">
        <v>5995.0258286886947</v>
      </c>
      <c r="Q270" s="530">
        <v>3982.4704899921012</v>
      </c>
      <c r="R270" s="530">
        <v>1914.2409572300714</v>
      </c>
      <c r="S270" s="530">
        <v>1009.4494322957472</v>
      </c>
      <c r="T270" s="530">
        <v>56730.965475045567</v>
      </c>
      <c r="U270" s="530" t="s">
        <v>57</v>
      </c>
    </row>
    <row r="271" spans="1:21" ht="13.8" x14ac:dyDescent="0.3">
      <c r="A271" s="530" t="str">
        <f t="shared" si="8"/>
        <v>Conwy.2016.Economic Impact.Direct Expenditure</v>
      </c>
      <c r="B271" s="530" t="s">
        <v>219</v>
      </c>
      <c r="C271" s="530" t="str">
        <f t="shared" si="9"/>
        <v>2016.Economic Impact.Direct Expenditure</v>
      </c>
      <c r="D271" s="530" t="s">
        <v>235</v>
      </c>
      <c r="E271" s="530" t="s">
        <v>17</v>
      </c>
      <c r="F271" s="530" t="s">
        <v>44</v>
      </c>
      <c r="G271" s="530" t="s">
        <v>44</v>
      </c>
      <c r="H271" s="530">
        <v>12462.447671055259</v>
      </c>
      <c r="I271" s="530">
        <v>21545.844432872094</v>
      </c>
      <c r="J271" s="530">
        <v>40250.236216077363</v>
      </c>
      <c r="K271" s="530">
        <v>56771.712054575444</v>
      </c>
      <c r="L271" s="530">
        <v>65805.576298214655</v>
      </c>
      <c r="M271" s="530">
        <v>69346.775666581278</v>
      </c>
      <c r="N271" s="530">
        <v>93763.225040849356</v>
      </c>
      <c r="O271" s="530">
        <v>108223.58239578042</v>
      </c>
      <c r="P271" s="530">
        <v>69676.389836168441</v>
      </c>
      <c r="Q271" s="530">
        <v>41805.719813441821</v>
      </c>
      <c r="R271" s="530">
        <v>23847.559651203275</v>
      </c>
      <c r="S271" s="530">
        <v>15365.443178416595</v>
      </c>
      <c r="T271" s="530">
        <v>618864.51225523592</v>
      </c>
      <c r="U271" s="530" t="s">
        <v>57</v>
      </c>
    </row>
    <row r="272" spans="1:21" ht="13.8" x14ac:dyDescent="0.3">
      <c r="A272" s="530" t="str">
        <f t="shared" si="8"/>
        <v>Conwy.2016.Population.Total</v>
      </c>
      <c r="B272" s="530" t="s">
        <v>219</v>
      </c>
      <c r="C272" s="530" t="str">
        <f t="shared" si="9"/>
        <v>2016.Population.Total</v>
      </c>
      <c r="D272" s="530" t="s">
        <v>235</v>
      </c>
      <c r="E272" s="530" t="s">
        <v>19</v>
      </c>
      <c r="F272" s="530" t="s">
        <v>54</v>
      </c>
      <c r="G272" s="530" t="s">
        <v>54</v>
      </c>
      <c r="H272" s="530">
        <v>116218</v>
      </c>
      <c r="I272" s="530">
        <v>116218</v>
      </c>
      <c r="J272" s="530">
        <v>116218</v>
      </c>
      <c r="K272" s="530">
        <v>116218</v>
      </c>
      <c r="L272" s="530">
        <v>116218</v>
      </c>
      <c r="M272" s="530">
        <v>116218</v>
      </c>
      <c r="N272" s="530">
        <v>116218</v>
      </c>
      <c r="O272" s="530">
        <v>116218</v>
      </c>
      <c r="P272" s="530">
        <v>116218</v>
      </c>
      <c r="Q272" s="530">
        <v>116218</v>
      </c>
      <c r="R272" s="530">
        <v>116218</v>
      </c>
      <c r="S272" s="530">
        <v>116218</v>
      </c>
      <c r="T272" s="530">
        <v>116218</v>
      </c>
      <c r="U272" s="530" t="s">
        <v>60</v>
      </c>
    </row>
    <row r="273" spans="1:21" ht="13.8" x14ac:dyDescent="0.3">
      <c r="A273" s="530" t="str">
        <f t="shared" si="8"/>
        <v>Conwy.2016.Employment.Serviced Accommodation</v>
      </c>
      <c r="B273" s="530" t="s">
        <v>219</v>
      </c>
      <c r="C273" s="530" t="str">
        <f t="shared" si="9"/>
        <v>2016.Employment.Serviced Accommodation</v>
      </c>
      <c r="D273" s="530" t="s">
        <v>235</v>
      </c>
      <c r="E273" s="530" t="s">
        <v>20</v>
      </c>
      <c r="F273" s="530" t="s">
        <v>43</v>
      </c>
      <c r="G273" s="530" t="s">
        <v>43</v>
      </c>
      <c r="H273" s="530">
        <v>2118.6240531963922</v>
      </c>
      <c r="I273" s="530">
        <v>2392.0279366871591</v>
      </c>
      <c r="J273" s="530">
        <v>2538.080416994962</v>
      </c>
      <c r="K273" s="530">
        <v>2716.5541530726432</v>
      </c>
      <c r="L273" s="530">
        <v>2999.7646638188949</v>
      </c>
      <c r="M273" s="530">
        <v>2766.964806211502</v>
      </c>
      <c r="N273" s="530">
        <v>2804.9926797213793</v>
      </c>
      <c r="O273" s="530">
        <v>3002.8204609964387</v>
      </c>
      <c r="P273" s="530">
        <v>2830.5501939638189</v>
      </c>
      <c r="Q273" s="530">
        <v>2577.6715307968202</v>
      </c>
      <c r="R273" s="530">
        <v>2601.3736370817496</v>
      </c>
      <c r="S273" s="530">
        <v>2411.9579594831557</v>
      </c>
      <c r="T273" s="530">
        <v>2646.7818743354096</v>
      </c>
      <c r="U273" s="530" t="s">
        <v>59</v>
      </c>
    </row>
    <row r="274" spans="1:21" ht="13.8" x14ac:dyDescent="0.3">
      <c r="A274" s="530" t="str">
        <f t="shared" si="8"/>
        <v>Conwy.2016.Employment.Non-Serviced Accommodation</v>
      </c>
      <c r="B274" s="530" t="s">
        <v>219</v>
      </c>
      <c r="C274" s="530" t="str">
        <f t="shared" si="9"/>
        <v>2016.Employment.Non-Serviced Accommodation</v>
      </c>
      <c r="D274" s="530" t="s">
        <v>235</v>
      </c>
      <c r="E274" s="530" t="s">
        <v>20</v>
      </c>
      <c r="F274" s="530" t="s">
        <v>48</v>
      </c>
      <c r="G274" s="530" t="s">
        <v>48</v>
      </c>
      <c r="H274" s="530">
        <v>1173.0589666142705</v>
      </c>
      <c r="I274" s="530">
        <v>1255.3285692958809</v>
      </c>
      <c r="J274" s="530">
        <v>3817.267174613331</v>
      </c>
      <c r="K274" s="530">
        <v>4537.9365174298537</v>
      </c>
      <c r="L274" s="530">
        <v>4613.2352803425747</v>
      </c>
      <c r="M274" s="530">
        <v>5949.9048687193772</v>
      </c>
      <c r="N274" s="530">
        <v>6839.5723451081412</v>
      </c>
      <c r="O274" s="530">
        <v>6914.6378676591576</v>
      </c>
      <c r="P274" s="530">
        <v>4863.8801783077442</v>
      </c>
      <c r="Q274" s="530">
        <v>3978.1092869415124</v>
      </c>
      <c r="R274" s="530">
        <v>2362.6012500810343</v>
      </c>
      <c r="S274" s="530">
        <v>1317.163246144888</v>
      </c>
      <c r="T274" s="530">
        <v>3968.5579626048143</v>
      </c>
      <c r="U274" s="530" t="s">
        <v>59</v>
      </c>
    </row>
    <row r="275" spans="1:21" ht="13.8" x14ac:dyDescent="0.3">
      <c r="A275" s="530" t="str">
        <f t="shared" si="8"/>
        <v>Conwy.2016.Employment.SFR</v>
      </c>
      <c r="B275" s="530" t="s">
        <v>219</v>
      </c>
      <c r="C275" s="530" t="str">
        <f t="shared" si="9"/>
        <v>2016.Employment.SFR</v>
      </c>
      <c r="D275" s="530" t="s">
        <v>235</v>
      </c>
      <c r="E275" s="530" t="s">
        <v>20</v>
      </c>
      <c r="F275" s="530" t="s">
        <v>18</v>
      </c>
      <c r="G275" s="530" t="s">
        <v>18</v>
      </c>
      <c r="H275" s="530">
        <v>243.74241591558041</v>
      </c>
      <c r="I275" s="530">
        <v>81.897451747635003</v>
      </c>
      <c r="J275" s="530">
        <v>93.16376786106629</v>
      </c>
      <c r="K275" s="530">
        <v>222.29308331500928</v>
      </c>
      <c r="L275" s="530">
        <v>142.99555067047382</v>
      </c>
      <c r="M275" s="530">
        <v>110.15207260056908</v>
      </c>
      <c r="N275" s="530">
        <v>178.74443833809229</v>
      </c>
      <c r="O275" s="530">
        <v>189.21777912507818</v>
      </c>
      <c r="P275" s="530">
        <v>97.462517438116109</v>
      </c>
      <c r="Q275" s="530">
        <v>97.36697041107719</v>
      </c>
      <c r="R275" s="530">
        <v>75.868889327322961</v>
      </c>
      <c r="S275" s="530">
        <v>219.69316421190979</v>
      </c>
      <c r="T275" s="530">
        <v>146.0498417468275</v>
      </c>
      <c r="U275" s="530" t="s">
        <v>59</v>
      </c>
    </row>
    <row r="276" spans="1:21" ht="13.8" x14ac:dyDescent="0.3">
      <c r="A276" s="530" t="str">
        <f t="shared" si="8"/>
        <v>Conwy.2016.Employment.Day Visitor</v>
      </c>
      <c r="B276" s="530" t="s">
        <v>219</v>
      </c>
      <c r="C276" s="530" t="str">
        <f t="shared" si="9"/>
        <v>2016.Employment.Day Visitor</v>
      </c>
      <c r="D276" s="530" t="s">
        <v>235</v>
      </c>
      <c r="E276" s="530" t="s">
        <v>20</v>
      </c>
      <c r="F276" s="530" t="s">
        <v>71</v>
      </c>
      <c r="G276" s="530" t="s">
        <v>71</v>
      </c>
      <c r="H276" s="530">
        <v>319.7076093927077</v>
      </c>
      <c r="I276" s="530">
        <v>1491.0186615926373</v>
      </c>
      <c r="J276" s="530">
        <v>1849.7496865803787</v>
      </c>
      <c r="K276" s="530">
        <v>3411.5925038935497</v>
      </c>
      <c r="L276" s="530">
        <v>4282.4546002936913</v>
      </c>
      <c r="M276" s="530">
        <v>3866.3944211179146</v>
      </c>
      <c r="N276" s="530">
        <v>5645.8218536472887</v>
      </c>
      <c r="O276" s="530">
        <v>7534.9305502126172</v>
      </c>
      <c r="P276" s="530">
        <v>3907.7801298012901</v>
      </c>
      <c r="Q276" s="530">
        <v>2103.0974325016673</v>
      </c>
      <c r="R276" s="530">
        <v>555.39150828361937</v>
      </c>
      <c r="S276" s="530">
        <v>210.54914920105733</v>
      </c>
      <c r="T276" s="530">
        <v>2931.5406755432014</v>
      </c>
      <c r="U276" s="530" t="s">
        <v>59</v>
      </c>
    </row>
    <row r="277" spans="1:21" ht="13.8" x14ac:dyDescent="0.3">
      <c r="A277" s="530" t="str">
        <f t="shared" si="8"/>
        <v>Conwy.2016.Employment.Direct Employment</v>
      </c>
      <c r="B277" s="530" t="s">
        <v>219</v>
      </c>
      <c r="C277" s="530" t="str">
        <f t="shared" si="9"/>
        <v>2016.Employment.Direct Employment</v>
      </c>
      <c r="D277" s="530" t="s">
        <v>235</v>
      </c>
      <c r="E277" s="530" t="s">
        <v>20</v>
      </c>
      <c r="F277" s="530" t="s">
        <v>55</v>
      </c>
      <c r="G277" s="530" t="s">
        <v>55</v>
      </c>
      <c r="H277" s="530">
        <v>3855.1330451189506</v>
      </c>
      <c r="I277" s="530">
        <v>5220.272619323312</v>
      </c>
      <c r="J277" s="530">
        <v>8298.2610460497381</v>
      </c>
      <c r="K277" s="530">
        <v>10888.376257711056</v>
      </c>
      <c r="L277" s="530">
        <v>12038.450095125634</v>
      </c>
      <c r="M277" s="530">
        <v>12693.416168649364</v>
      </c>
      <c r="N277" s="530">
        <v>15469.131316814901</v>
      </c>
      <c r="O277" s="530">
        <v>17641.606657993292</v>
      </c>
      <c r="P277" s="530">
        <v>11699.67301951097</v>
      </c>
      <c r="Q277" s="530">
        <v>8756.245220651077</v>
      </c>
      <c r="R277" s="530">
        <v>5595.2352847737257</v>
      </c>
      <c r="S277" s="530">
        <v>4159.3635190410105</v>
      </c>
      <c r="T277" s="530">
        <v>9692.9303542302532</v>
      </c>
      <c r="U277" s="530" t="s">
        <v>59</v>
      </c>
    </row>
    <row r="278" spans="1:21" ht="13.8" x14ac:dyDescent="0.3">
      <c r="A278" s="530" t="str">
        <f t="shared" si="8"/>
        <v>Conwy.2016.Employment.Indirect Employment</v>
      </c>
      <c r="B278" s="530" t="s">
        <v>219</v>
      </c>
      <c r="C278" s="530" t="str">
        <f t="shared" si="9"/>
        <v>2016.Employment.Indirect Employment</v>
      </c>
      <c r="D278" s="530" t="s">
        <v>235</v>
      </c>
      <c r="E278" s="530" t="s">
        <v>20</v>
      </c>
      <c r="F278" s="530" t="s">
        <v>53</v>
      </c>
      <c r="G278" s="530" t="s">
        <v>53</v>
      </c>
      <c r="H278" s="530">
        <v>502.41147877165918</v>
      </c>
      <c r="I278" s="530">
        <v>907.09852521170512</v>
      </c>
      <c r="J278" s="530">
        <v>1750.5319532594822</v>
      </c>
      <c r="K278" s="530">
        <v>2485.6823325742289</v>
      </c>
      <c r="L278" s="530">
        <v>2869.9030457965787</v>
      </c>
      <c r="M278" s="530">
        <v>3054.3465548603972</v>
      </c>
      <c r="N278" s="530">
        <v>4154.2284886013204</v>
      </c>
      <c r="O278" s="530">
        <v>4787.216924269932</v>
      </c>
      <c r="P278" s="530">
        <v>3046.3450500990193</v>
      </c>
      <c r="Q278" s="530">
        <v>1833.9408793188973</v>
      </c>
      <c r="R278" s="530">
        <v>991.32246540506333</v>
      </c>
      <c r="S278" s="530">
        <v>611.21249147323601</v>
      </c>
      <c r="T278" s="530">
        <v>2249.52001580346</v>
      </c>
      <c r="U278" s="530" t="s">
        <v>59</v>
      </c>
    </row>
    <row r="279" spans="1:21" ht="13.8" x14ac:dyDescent="0.3">
      <c r="A279" s="530" t="str">
        <f t="shared" si="8"/>
        <v>Conwy.2016.Employment.Total</v>
      </c>
      <c r="B279" s="530" t="s">
        <v>219</v>
      </c>
      <c r="C279" s="530" t="str">
        <f t="shared" si="9"/>
        <v>2016.Employment.Total</v>
      </c>
      <c r="D279" s="530" t="s">
        <v>235</v>
      </c>
      <c r="E279" s="530" t="s">
        <v>20</v>
      </c>
      <c r="F279" s="530" t="s">
        <v>54</v>
      </c>
      <c r="G279" s="530" t="s">
        <v>54</v>
      </c>
      <c r="H279" s="530">
        <v>4357.5445238906095</v>
      </c>
      <c r="I279" s="530">
        <v>6127.3711445350173</v>
      </c>
      <c r="J279" s="530">
        <v>10048.79299930922</v>
      </c>
      <c r="K279" s="530">
        <v>13374.058590285284</v>
      </c>
      <c r="L279" s="530">
        <v>14908.353140922212</v>
      </c>
      <c r="M279" s="530">
        <v>15747.762723509761</v>
      </c>
      <c r="N279" s="530">
        <v>19623.359805416221</v>
      </c>
      <c r="O279" s="530">
        <v>22428.823582263223</v>
      </c>
      <c r="P279" s="530">
        <v>14746.018069609989</v>
      </c>
      <c r="Q279" s="530">
        <v>10590.186099969975</v>
      </c>
      <c r="R279" s="530">
        <v>6586.5577501787893</v>
      </c>
      <c r="S279" s="530">
        <v>4770.5760105142463</v>
      </c>
      <c r="T279" s="530">
        <v>11942.450370033714</v>
      </c>
      <c r="U279" s="530" t="s">
        <v>59</v>
      </c>
    </row>
    <row r="280" spans="1:21" ht="13.8" x14ac:dyDescent="0.3">
      <c r="A280" s="530" t="str">
        <f t="shared" si="8"/>
        <v>Conwy.2016.Employment.Accommodation</v>
      </c>
      <c r="B280" s="530" t="s">
        <v>219</v>
      </c>
      <c r="C280" s="530" t="str">
        <f t="shared" si="9"/>
        <v>2016.Employment.Accommodation</v>
      </c>
      <c r="D280" s="530" t="s">
        <v>235</v>
      </c>
      <c r="E280" s="530" t="s">
        <v>20</v>
      </c>
      <c r="F280" s="530" t="s">
        <v>23</v>
      </c>
      <c r="G280" s="530" t="s">
        <v>23</v>
      </c>
      <c r="H280" s="530">
        <v>2635.8399999999997</v>
      </c>
      <c r="I280" s="530">
        <v>2806.2445472389445</v>
      </c>
      <c r="J280" s="530">
        <v>3201</v>
      </c>
      <c r="K280" s="530">
        <v>3310.58</v>
      </c>
      <c r="L280" s="530">
        <v>3356.8407226952154</v>
      </c>
      <c r="M280" s="530">
        <v>3425.4949924264151</v>
      </c>
      <c r="N280" s="530">
        <v>3351.0356688996594</v>
      </c>
      <c r="O280" s="530">
        <v>3748.5759731521657</v>
      </c>
      <c r="P280" s="530">
        <v>3378.4101524421867</v>
      </c>
      <c r="Q280" s="530">
        <v>3282.8599999999997</v>
      </c>
      <c r="R280" s="530">
        <v>3026.92</v>
      </c>
      <c r="S280" s="530">
        <v>2779.68</v>
      </c>
      <c r="T280" s="530">
        <v>3191.9568380712153</v>
      </c>
      <c r="U280" s="530" t="s">
        <v>59</v>
      </c>
    </row>
    <row r="281" spans="1:21" ht="13.8" x14ac:dyDescent="0.3">
      <c r="A281" s="530" t="str">
        <f t="shared" si="8"/>
        <v>Conwy.2016.Employment.Food &amp; Drink</v>
      </c>
      <c r="B281" s="530" t="s">
        <v>219</v>
      </c>
      <c r="C281" s="530" t="str">
        <f t="shared" si="9"/>
        <v>2016.Employment.Food &amp; Drink</v>
      </c>
      <c r="D281" s="530" t="s">
        <v>235</v>
      </c>
      <c r="E281" s="530" t="s">
        <v>20</v>
      </c>
      <c r="F281" s="530" t="s">
        <v>49</v>
      </c>
      <c r="G281" s="530" t="s">
        <v>49</v>
      </c>
      <c r="H281" s="530">
        <v>498.04954835783383</v>
      </c>
      <c r="I281" s="530">
        <v>860.75446861237265</v>
      </c>
      <c r="J281" s="530">
        <v>2045.439772461154</v>
      </c>
      <c r="K281" s="530">
        <v>2958.6913903218415</v>
      </c>
      <c r="L281" s="530">
        <v>3387.4263010937379</v>
      </c>
      <c r="M281" s="530">
        <v>3654.3499292327065</v>
      </c>
      <c r="N281" s="530">
        <v>4748.0964255615236</v>
      </c>
      <c r="O281" s="530">
        <v>5330.8574588928168</v>
      </c>
      <c r="P281" s="530">
        <v>3292.2507695560757</v>
      </c>
      <c r="Q281" s="530">
        <v>2219.4896550452477</v>
      </c>
      <c r="R281" s="530">
        <v>1093.8869133148364</v>
      </c>
      <c r="S281" s="530">
        <v>576.61521318577309</v>
      </c>
      <c r="T281" s="530">
        <v>2555.4923204696602</v>
      </c>
      <c r="U281" s="530" t="s">
        <v>59</v>
      </c>
    </row>
    <row r="282" spans="1:21" ht="13.8" x14ac:dyDescent="0.3">
      <c r="A282" s="530" t="str">
        <f t="shared" si="8"/>
        <v>Conwy.2016.Employment.Recreation</v>
      </c>
      <c r="B282" s="530" t="s">
        <v>219</v>
      </c>
      <c r="C282" s="530" t="str">
        <f t="shared" si="9"/>
        <v>2016.Employment.Recreation</v>
      </c>
      <c r="D282" s="530" t="s">
        <v>235</v>
      </c>
      <c r="E282" s="530" t="s">
        <v>20</v>
      </c>
      <c r="F282" s="530" t="s">
        <v>50</v>
      </c>
      <c r="G282" s="530" t="s">
        <v>50</v>
      </c>
      <c r="H282" s="530">
        <v>135.99299778386887</v>
      </c>
      <c r="I282" s="530">
        <v>239.73263559052486</v>
      </c>
      <c r="J282" s="530">
        <v>602.74682280918807</v>
      </c>
      <c r="K282" s="530">
        <v>837.11120328028881</v>
      </c>
      <c r="L282" s="530">
        <v>882.810587821848</v>
      </c>
      <c r="M282" s="530">
        <v>1098.3789774261845</v>
      </c>
      <c r="N282" s="530">
        <v>1334.9541582217284</v>
      </c>
      <c r="O282" s="530">
        <v>1406.8891490894271</v>
      </c>
      <c r="P282" s="530">
        <v>878.01070084501464</v>
      </c>
      <c r="Q282" s="530">
        <v>568.10760295537682</v>
      </c>
      <c r="R282" s="530">
        <v>296.35385264901015</v>
      </c>
      <c r="S282" s="530">
        <v>165.39744291000915</v>
      </c>
      <c r="T282" s="530">
        <v>703.87384428187249</v>
      </c>
      <c r="U282" s="530" t="s">
        <v>59</v>
      </c>
    </row>
    <row r="283" spans="1:21" ht="13.8" x14ac:dyDescent="0.3">
      <c r="A283" s="530" t="str">
        <f t="shared" si="8"/>
        <v>Conwy.2016.Employment.Shopping</v>
      </c>
      <c r="B283" s="530" t="s">
        <v>219</v>
      </c>
      <c r="C283" s="530" t="str">
        <f t="shared" si="9"/>
        <v>2016.Employment.Shopping</v>
      </c>
      <c r="D283" s="530" t="s">
        <v>235</v>
      </c>
      <c r="E283" s="530" t="s">
        <v>20</v>
      </c>
      <c r="F283" s="530" t="s">
        <v>51</v>
      </c>
      <c r="G283" s="530" t="s">
        <v>51</v>
      </c>
      <c r="H283" s="530">
        <v>508.97044033751405</v>
      </c>
      <c r="I283" s="530">
        <v>1163.4329445887195</v>
      </c>
      <c r="J283" s="530">
        <v>2116.3339714477925</v>
      </c>
      <c r="K283" s="530">
        <v>3293.9393366053637</v>
      </c>
      <c r="L283" s="530">
        <v>3861.6382684722812</v>
      </c>
      <c r="M283" s="530">
        <v>3910.0252824370646</v>
      </c>
      <c r="N283" s="530">
        <v>5255.6954113464581</v>
      </c>
      <c r="O283" s="530">
        <v>6281.6441690785969</v>
      </c>
      <c r="P283" s="530">
        <v>3623.7054174841633</v>
      </c>
      <c r="Q283" s="530">
        <v>2335.5074573454044</v>
      </c>
      <c r="R283" s="530">
        <v>1009.7063434626472</v>
      </c>
      <c r="S283" s="530">
        <v>548.88415175351531</v>
      </c>
      <c r="T283" s="530">
        <v>2825.7902661966273</v>
      </c>
      <c r="U283" s="530" t="s">
        <v>59</v>
      </c>
    </row>
    <row r="284" spans="1:21" ht="13.8" x14ac:dyDescent="0.3">
      <c r="A284" s="530" t="str">
        <f t="shared" si="8"/>
        <v>Conwy.2016.Employment.Transport</v>
      </c>
      <c r="B284" s="530" t="s">
        <v>219</v>
      </c>
      <c r="C284" s="530" t="str">
        <f t="shared" si="9"/>
        <v>2016.Employment.Transport</v>
      </c>
      <c r="D284" s="530" t="s">
        <v>235</v>
      </c>
      <c r="E284" s="530" t="s">
        <v>20</v>
      </c>
      <c r="F284" s="530" t="s">
        <v>52</v>
      </c>
      <c r="G284" s="530" t="s">
        <v>52</v>
      </c>
      <c r="H284" s="530">
        <v>76.280058639734349</v>
      </c>
      <c r="I284" s="530">
        <v>150.10802329275111</v>
      </c>
      <c r="J284" s="530">
        <v>332.7404793316033</v>
      </c>
      <c r="K284" s="530">
        <v>488.05432750356198</v>
      </c>
      <c r="L284" s="530">
        <v>549.73421504255089</v>
      </c>
      <c r="M284" s="530">
        <v>605.16698712699269</v>
      </c>
      <c r="N284" s="530">
        <v>779.34965278553148</v>
      </c>
      <c r="O284" s="530">
        <v>873.63990778028563</v>
      </c>
      <c r="P284" s="530">
        <v>527.29597918352897</v>
      </c>
      <c r="Q284" s="530">
        <v>350.28050530504851</v>
      </c>
      <c r="R284" s="530">
        <v>168.36817534723255</v>
      </c>
      <c r="S284" s="530">
        <v>88.786711191713067</v>
      </c>
      <c r="T284" s="530">
        <v>415.81708521087791</v>
      </c>
      <c r="U284" s="530" t="s">
        <v>59</v>
      </c>
    </row>
    <row r="285" spans="1:21" ht="13.8" x14ac:dyDescent="0.3">
      <c r="A285" s="530" t="str">
        <f t="shared" si="8"/>
        <v>Conwy.2016.Visitor Days.Serviced Accommodation</v>
      </c>
      <c r="B285" s="530" t="s">
        <v>219</v>
      </c>
      <c r="C285" s="530" t="str">
        <f t="shared" si="9"/>
        <v>2016.Visitor Days.Serviced Accommodation</v>
      </c>
      <c r="D285" s="530" t="s">
        <v>235</v>
      </c>
      <c r="E285" s="530" t="s">
        <v>171</v>
      </c>
      <c r="F285" s="530" t="s">
        <v>43</v>
      </c>
      <c r="G285" s="530" t="s">
        <v>43</v>
      </c>
      <c r="H285" s="530">
        <v>105.04362881563344</v>
      </c>
      <c r="I285" s="530">
        <v>132.15809552051851</v>
      </c>
      <c r="J285" s="530">
        <v>129.32711183940847</v>
      </c>
      <c r="K285" s="530">
        <v>151.97231956947755</v>
      </c>
      <c r="L285" s="530">
        <v>204.74537546350859</v>
      </c>
      <c r="M285" s="530">
        <v>158.39690762105707</v>
      </c>
      <c r="N285" s="530">
        <v>161.25354967718013</v>
      </c>
      <c r="O285" s="530">
        <v>204.37380860650796</v>
      </c>
      <c r="P285" s="530">
        <v>171.15690609960674</v>
      </c>
      <c r="Q285" s="530">
        <v>127.13374046464999</v>
      </c>
      <c r="R285" s="530">
        <v>150.56953734015855</v>
      </c>
      <c r="S285" s="530">
        <v>142.20531106989787</v>
      </c>
      <c r="T285" s="530">
        <v>1838.3362920876048</v>
      </c>
      <c r="U285" s="530" t="s">
        <v>61</v>
      </c>
    </row>
    <row r="286" spans="1:21" ht="13.8" x14ac:dyDescent="0.3">
      <c r="A286" s="530" t="str">
        <f t="shared" si="8"/>
        <v>Conwy.2016.Visitor Days.Non-Serviced Accommodation</v>
      </c>
      <c r="B286" s="530" t="s">
        <v>219</v>
      </c>
      <c r="C286" s="530" t="str">
        <f t="shared" si="9"/>
        <v>2016.Visitor Days.Non-Serviced Accommodation</v>
      </c>
      <c r="D286" s="530" t="s">
        <v>235</v>
      </c>
      <c r="E286" s="530" t="s">
        <v>171</v>
      </c>
      <c r="F286" s="530" t="s">
        <v>48</v>
      </c>
      <c r="G286" s="530" t="s">
        <v>48</v>
      </c>
      <c r="H286" s="530">
        <v>38.47039035771234</v>
      </c>
      <c r="I286" s="530">
        <v>54.457965817678222</v>
      </c>
      <c r="J286" s="530">
        <v>616.1343861734872</v>
      </c>
      <c r="K286" s="530">
        <v>771.35552472681434</v>
      </c>
      <c r="L286" s="530">
        <v>824.52965829729555</v>
      </c>
      <c r="M286" s="530">
        <v>1080.4522074783117</v>
      </c>
      <c r="N286" s="530">
        <v>1332.1454025206899</v>
      </c>
      <c r="O286" s="530">
        <v>1301.9083809036688</v>
      </c>
      <c r="P286" s="530">
        <v>889.67728359491116</v>
      </c>
      <c r="Q286" s="530">
        <v>665.5667676130463</v>
      </c>
      <c r="R286" s="530">
        <v>308.40670383234112</v>
      </c>
      <c r="S286" s="530">
        <v>69.363962728487451</v>
      </c>
      <c r="T286" s="530">
        <v>7952.468634044445</v>
      </c>
      <c r="U286" s="530" t="s">
        <v>61</v>
      </c>
    </row>
    <row r="287" spans="1:21" ht="13.8" x14ac:dyDescent="0.3">
      <c r="A287" s="530" t="str">
        <f t="shared" si="8"/>
        <v>Conwy.2016.Visitor Days.SFR</v>
      </c>
      <c r="B287" s="530" t="s">
        <v>219</v>
      </c>
      <c r="C287" s="530" t="str">
        <f t="shared" si="9"/>
        <v>2016.Visitor Days.SFR</v>
      </c>
      <c r="D287" s="530" t="s">
        <v>235</v>
      </c>
      <c r="E287" s="530" t="s">
        <v>171</v>
      </c>
      <c r="F287" s="530" t="s">
        <v>18</v>
      </c>
      <c r="G287" s="530" t="s">
        <v>18</v>
      </c>
      <c r="H287" s="530">
        <v>59.429659090909091</v>
      </c>
      <c r="I287" s="530">
        <v>19.968365454545452</v>
      </c>
      <c r="J287" s="530">
        <v>22.715336363636364</v>
      </c>
      <c r="K287" s="530">
        <v>54.199849090909083</v>
      </c>
      <c r="L287" s="530">
        <v>34.865400000000001</v>
      </c>
      <c r="M287" s="530">
        <v>26.857451536363634</v>
      </c>
      <c r="N287" s="530">
        <v>43.58175</v>
      </c>
      <c r="O287" s="530">
        <v>46.135376418181814</v>
      </c>
      <c r="P287" s="530">
        <v>23.763464244545453</v>
      </c>
      <c r="Q287" s="530">
        <v>23.740167818181817</v>
      </c>
      <c r="R287" s="530">
        <v>18.498471886363628</v>
      </c>
      <c r="S287" s="530">
        <v>53.565932727272731</v>
      </c>
      <c r="T287" s="530">
        <v>427.32122463090911</v>
      </c>
      <c r="U287" s="530" t="s">
        <v>61</v>
      </c>
    </row>
    <row r="288" spans="1:21" ht="13.8" x14ac:dyDescent="0.3">
      <c r="A288" s="530" t="str">
        <f t="shared" si="8"/>
        <v>Conwy.2016.Visitor Days.Day Visitor</v>
      </c>
      <c r="B288" s="530" t="s">
        <v>219</v>
      </c>
      <c r="C288" s="530" t="str">
        <f t="shared" si="9"/>
        <v>2016.Visitor Days.Day Visitor</v>
      </c>
      <c r="D288" s="530" t="s">
        <v>235</v>
      </c>
      <c r="E288" s="530" t="s">
        <v>171</v>
      </c>
      <c r="F288" s="530" t="s">
        <v>71</v>
      </c>
      <c r="G288" s="530" t="s">
        <v>71</v>
      </c>
      <c r="H288" s="530">
        <v>61.338282417988076</v>
      </c>
      <c r="I288" s="530">
        <v>286.06301842168739</v>
      </c>
      <c r="J288" s="530">
        <v>354.88823332535964</v>
      </c>
      <c r="K288" s="530">
        <v>654.53939271702154</v>
      </c>
      <c r="L288" s="530">
        <v>821.62076221454538</v>
      </c>
      <c r="M288" s="530">
        <v>741.79652274261309</v>
      </c>
      <c r="N288" s="530">
        <v>1083.1929086657683</v>
      </c>
      <c r="O288" s="530">
        <v>1445.6324607562181</v>
      </c>
      <c r="P288" s="530">
        <v>749.73667872486033</v>
      </c>
      <c r="Q288" s="530">
        <v>403.49488244077833</v>
      </c>
      <c r="R288" s="530">
        <v>106.55599112064814</v>
      </c>
      <c r="S288" s="530">
        <v>40.39542005613626</v>
      </c>
      <c r="T288" s="530">
        <v>6749.254553603625</v>
      </c>
      <c r="U288" s="530" t="s">
        <v>61</v>
      </c>
    </row>
    <row r="289" spans="1:21" ht="13.8" x14ac:dyDescent="0.3">
      <c r="A289" s="530" t="str">
        <f t="shared" si="8"/>
        <v>Conwy.2016.Visitor Days.Total</v>
      </c>
      <c r="B289" s="530" t="s">
        <v>219</v>
      </c>
      <c r="C289" s="530" t="str">
        <f t="shared" si="9"/>
        <v>2016.Visitor Days.Total</v>
      </c>
      <c r="D289" s="530" t="s">
        <v>235</v>
      </c>
      <c r="E289" s="530" t="s">
        <v>171</v>
      </c>
      <c r="F289" s="530" t="s">
        <v>54</v>
      </c>
      <c r="G289" s="530" t="s">
        <v>54</v>
      </c>
      <c r="H289" s="530">
        <v>264.28196068224298</v>
      </c>
      <c r="I289" s="530">
        <v>492.64744521442958</v>
      </c>
      <c r="J289" s="530">
        <v>1123.0650677018916</v>
      </c>
      <c r="K289" s="530">
        <v>1632.0670861042227</v>
      </c>
      <c r="L289" s="530">
        <v>1885.7611959753494</v>
      </c>
      <c r="M289" s="530">
        <v>2007.5030893783455</v>
      </c>
      <c r="N289" s="530">
        <v>2620.1736108636387</v>
      </c>
      <c r="O289" s="530">
        <v>2998.0500266845766</v>
      </c>
      <c r="P289" s="530">
        <v>1834.3343326639238</v>
      </c>
      <c r="Q289" s="530">
        <v>1219.9355583366564</v>
      </c>
      <c r="R289" s="530">
        <v>584.03070417951142</v>
      </c>
      <c r="S289" s="530">
        <v>305.53062658179431</v>
      </c>
      <c r="T289" s="530">
        <v>16967.380704366584</v>
      </c>
      <c r="U289" s="530" t="s">
        <v>61</v>
      </c>
    </row>
    <row r="290" spans="1:21" ht="13.8" x14ac:dyDescent="0.3">
      <c r="A290" s="530" t="str">
        <f t="shared" si="8"/>
        <v>Conwy.2016.Visitor Numbers.Serviced Accommodation</v>
      </c>
      <c r="B290" s="530" t="s">
        <v>219</v>
      </c>
      <c r="C290" s="530" t="str">
        <f t="shared" si="9"/>
        <v>2016.Visitor Numbers.Serviced Accommodation</v>
      </c>
      <c r="D290" s="530" t="s">
        <v>235</v>
      </c>
      <c r="E290" s="530" t="s">
        <v>172</v>
      </c>
      <c r="F290" s="530" t="s">
        <v>43</v>
      </c>
      <c r="G290" s="530" t="s">
        <v>43</v>
      </c>
      <c r="H290" s="530">
        <v>68.750003635331723</v>
      </c>
      <c r="I290" s="530">
        <v>89.12362273518923</v>
      </c>
      <c r="J290" s="530">
        <v>62.56457880603692</v>
      </c>
      <c r="K290" s="530">
        <v>83.425164924966253</v>
      </c>
      <c r="L290" s="530">
        <v>108.53434629048981</v>
      </c>
      <c r="M290" s="530">
        <v>88.970943678224273</v>
      </c>
      <c r="N290" s="530">
        <v>91.415893453889467</v>
      </c>
      <c r="O290" s="530">
        <v>114.74943386318299</v>
      </c>
      <c r="P290" s="530">
        <v>86.471662662886388</v>
      </c>
      <c r="Q290" s="530">
        <v>73.856805988165348</v>
      </c>
      <c r="R290" s="530">
        <v>87.239131698138735</v>
      </c>
      <c r="S290" s="530">
        <v>87.488331266600042</v>
      </c>
      <c r="T290" s="530">
        <v>1042.5899190031012</v>
      </c>
      <c r="U290" s="530" t="s">
        <v>61</v>
      </c>
    </row>
    <row r="291" spans="1:21" ht="13.8" x14ac:dyDescent="0.3">
      <c r="A291" s="530" t="str">
        <f t="shared" si="8"/>
        <v>Conwy.2016.Visitor Numbers.Non-Serviced Accommodation</v>
      </c>
      <c r="B291" s="530" t="s">
        <v>219</v>
      </c>
      <c r="C291" s="530" t="str">
        <f t="shared" si="9"/>
        <v>2016.Visitor Numbers.Non-Serviced Accommodation</v>
      </c>
      <c r="D291" s="530" t="s">
        <v>235</v>
      </c>
      <c r="E291" s="530" t="s">
        <v>172</v>
      </c>
      <c r="F291" s="530" t="s">
        <v>48</v>
      </c>
      <c r="G291" s="530" t="s">
        <v>48</v>
      </c>
      <c r="H291" s="530">
        <v>11.314820693444803</v>
      </c>
      <c r="I291" s="530">
        <v>13.614491454419555</v>
      </c>
      <c r="J291" s="530">
        <v>128.36133045280982</v>
      </c>
      <c r="K291" s="530">
        <v>120.52430073856473</v>
      </c>
      <c r="L291" s="530">
        <v>119.49705192714427</v>
      </c>
      <c r="M291" s="530">
        <v>154.35031535404451</v>
      </c>
      <c r="N291" s="530">
        <v>187.62611303108312</v>
      </c>
      <c r="O291" s="530">
        <v>171.30373432943009</v>
      </c>
      <c r="P291" s="530">
        <v>128.93873675288569</v>
      </c>
      <c r="Q291" s="530">
        <v>95.080966801863752</v>
      </c>
      <c r="R291" s="530">
        <v>68.534823073853588</v>
      </c>
      <c r="S291" s="530">
        <v>12.38642191580133</v>
      </c>
      <c r="T291" s="530">
        <v>1211.5331065253454</v>
      </c>
      <c r="U291" s="530" t="s">
        <v>61</v>
      </c>
    </row>
    <row r="292" spans="1:21" ht="13.8" x14ac:dyDescent="0.3">
      <c r="A292" s="530" t="str">
        <f t="shared" si="8"/>
        <v>Conwy.2016.Visitor Numbers.SFR</v>
      </c>
      <c r="B292" s="530" t="s">
        <v>219</v>
      </c>
      <c r="C292" s="530" t="str">
        <f t="shared" si="9"/>
        <v>2016.Visitor Numbers.SFR</v>
      </c>
      <c r="D292" s="530" t="s">
        <v>235</v>
      </c>
      <c r="E292" s="530" t="s">
        <v>172</v>
      </c>
      <c r="F292" s="530" t="s">
        <v>18</v>
      </c>
      <c r="G292" s="530" t="s">
        <v>18</v>
      </c>
      <c r="H292" s="530">
        <v>23.771863636363637</v>
      </c>
      <c r="I292" s="530">
        <v>9.5087454545454531</v>
      </c>
      <c r="J292" s="530">
        <v>10.565272727272728</v>
      </c>
      <c r="K292" s="530">
        <v>20.074018181818179</v>
      </c>
      <c r="L292" s="530">
        <v>15.84790909090909</v>
      </c>
      <c r="M292" s="530">
        <v>12.789262636363635</v>
      </c>
      <c r="N292" s="530">
        <v>17.432700000000001</v>
      </c>
      <c r="O292" s="530">
        <v>17.744375545454542</v>
      </c>
      <c r="P292" s="530">
        <v>10.950905181818182</v>
      </c>
      <c r="Q292" s="530">
        <v>11.093536363636362</v>
      </c>
      <c r="R292" s="530">
        <v>9.1125477272727249</v>
      </c>
      <c r="S292" s="530">
        <v>20.602281818181819</v>
      </c>
      <c r="T292" s="530">
        <v>179.49341836363632</v>
      </c>
      <c r="U292" s="530" t="s">
        <v>61</v>
      </c>
    </row>
    <row r="293" spans="1:21" ht="13.8" x14ac:dyDescent="0.3">
      <c r="A293" s="530" t="str">
        <f t="shared" si="8"/>
        <v>Conwy.2016.Visitor Numbers.Day Visitor</v>
      </c>
      <c r="B293" s="530" t="s">
        <v>219</v>
      </c>
      <c r="C293" s="530" t="str">
        <f t="shared" si="9"/>
        <v>2016.Visitor Numbers.Day Visitor</v>
      </c>
      <c r="D293" s="530" t="s">
        <v>235</v>
      </c>
      <c r="E293" s="530" t="s">
        <v>172</v>
      </c>
      <c r="F293" s="530" t="s">
        <v>71</v>
      </c>
      <c r="G293" s="530" t="s">
        <v>71</v>
      </c>
      <c r="H293" s="530">
        <v>61.338282417988076</v>
      </c>
      <c r="I293" s="530">
        <v>286.06301842168739</v>
      </c>
      <c r="J293" s="530">
        <v>354.88823332535964</v>
      </c>
      <c r="K293" s="530">
        <v>654.53939271702154</v>
      </c>
      <c r="L293" s="530">
        <v>821.62076221454538</v>
      </c>
      <c r="M293" s="530">
        <v>741.79652274261309</v>
      </c>
      <c r="N293" s="530">
        <v>1083.1929086657683</v>
      </c>
      <c r="O293" s="530">
        <v>1445.6324607562181</v>
      </c>
      <c r="P293" s="530">
        <v>749.73667872486033</v>
      </c>
      <c r="Q293" s="530">
        <v>403.49488244077833</v>
      </c>
      <c r="R293" s="530">
        <v>106.55599112064814</v>
      </c>
      <c r="S293" s="530">
        <v>40.39542005613626</v>
      </c>
      <c r="T293" s="530">
        <v>6749.254553603625</v>
      </c>
      <c r="U293" s="530" t="s">
        <v>61</v>
      </c>
    </row>
    <row r="294" spans="1:21" ht="13.8" x14ac:dyDescent="0.3">
      <c r="A294" s="530" t="str">
        <f t="shared" si="8"/>
        <v>Conwy.2016.Visitor Numbers.Total</v>
      </c>
      <c r="B294" s="530" t="s">
        <v>219</v>
      </c>
      <c r="C294" s="530" t="str">
        <f t="shared" si="9"/>
        <v>2016.Visitor Numbers.Total</v>
      </c>
      <c r="D294" s="530" t="s">
        <v>235</v>
      </c>
      <c r="E294" s="530" t="s">
        <v>172</v>
      </c>
      <c r="F294" s="530" t="s">
        <v>54</v>
      </c>
      <c r="G294" s="530" t="s">
        <v>54</v>
      </c>
      <c r="H294" s="530">
        <v>165.17497038312823</v>
      </c>
      <c r="I294" s="530">
        <v>398.30987806584164</v>
      </c>
      <c r="J294" s="530">
        <v>556.37941531147908</v>
      </c>
      <c r="K294" s="530">
        <v>878.56287656237077</v>
      </c>
      <c r="L294" s="530">
        <v>1065.5000695230885</v>
      </c>
      <c r="M294" s="530">
        <v>997.90704441124558</v>
      </c>
      <c r="N294" s="530">
        <v>1379.6676151507409</v>
      </c>
      <c r="O294" s="530">
        <v>1749.4300044942856</v>
      </c>
      <c r="P294" s="530">
        <v>976.09798332245055</v>
      </c>
      <c r="Q294" s="530">
        <v>583.52619159444384</v>
      </c>
      <c r="R294" s="530">
        <v>271.44249361991319</v>
      </c>
      <c r="S294" s="530">
        <v>160.87245505671945</v>
      </c>
      <c r="T294" s="530">
        <v>9182.8709974957092</v>
      </c>
      <c r="U294" s="530" t="s">
        <v>61</v>
      </c>
    </row>
    <row r="295" spans="1:21" ht="13.8" x14ac:dyDescent="0.3">
      <c r="A295" s="530" t="str">
        <f t="shared" si="8"/>
        <v>Conwy.2016.Vehicle Days.Serviced Accommodation</v>
      </c>
      <c r="B295" s="530" t="s">
        <v>219</v>
      </c>
      <c r="C295" s="530" t="str">
        <f t="shared" si="9"/>
        <v>2016.Vehicle Days.Serviced Accommodation</v>
      </c>
      <c r="D295" s="530" t="s">
        <v>235</v>
      </c>
      <c r="E295" s="530" t="s">
        <v>21</v>
      </c>
      <c r="F295" s="530" t="s">
        <v>43</v>
      </c>
      <c r="G295" s="530" t="s">
        <v>43</v>
      </c>
      <c r="H295" s="530">
        <v>26.924714762255874</v>
      </c>
      <c r="I295" s="530">
        <v>44.915276889886655</v>
      </c>
      <c r="J295" s="530">
        <v>45.945648514441245</v>
      </c>
      <c r="K295" s="530">
        <v>39.414744812431323</v>
      </c>
      <c r="L295" s="530">
        <v>56.713450827579123</v>
      </c>
      <c r="M295" s="530">
        <v>43.852256852189385</v>
      </c>
      <c r="N295" s="530">
        <v>41.729311980708246</v>
      </c>
      <c r="O295" s="530">
        <v>52.978754893669105</v>
      </c>
      <c r="P295" s="530">
        <v>44.366051651491105</v>
      </c>
      <c r="Q295" s="530">
        <v>39.008174726610889</v>
      </c>
      <c r="R295" s="530">
        <v>47.115156546367309</v>
      </c>
      <c r="S295" s="530">
        <v>36.911614050138517</v>
      </c>
      <c r="T295" s="530">
        <v>519.87515650776868</v>
      </c>
      <c r="U295" s="530" t="s">
        <v>61</v>
      </c>
    </row>
    <row r="296" spans="1:21" ht="13.8" x14ac:dyDescent="0.3">
      <c r="A296" s="530" t="str">
        <f t="shared" si="8"/>
        <v>Conwy.2016.Vehicle Days.Non-Serviced Accommodation</v>
      </c>
      <c r="B296" s="530" t="s">
        <v>219</v>
      </c>
      <c r="C296" s="530" t="str">
        <f t="shared" si="9"/>
        <v>2016.Vehicle Days.Non-Serviced Accommodation</v>
      </c>
      <c r="D296" s="530" t="s">
        <v>235</v>
      </c>
      <c r="E296" s="530" t="s">
        <v>21</v>
      </c>
      <c r="F296" s="530" t="s">
        <v>48</v>
      </c>
      <c r="G296" s="530" t="s">
        <v>48</v>
      </c>
      <c r="H296" s="530">
        <v>10.65382231594805</v>
      </c>
      <c r="I296" s="530">
        <v>18.5702152412908</v>
      </c>
      <c r="J296" s="530">
        <v>161.4365213707805</v>
      </c>
      <c r="K296" s="530">
        <v>199.41558671656804</v>
      </c>
      <c r="L296" s="530">
        <v>210.58294854299331</v>
      </c>
      <c r="M296" s="530">
        <v>284.68502719111666</v>
      </c>
      <c r="N296" s="530">
        <v>340.64968213518557</v>
      </c>
      <c r="O296" s="530">
        <v>323.31053870822257</v>
      </c>
      <c r="P296" s="530">
        <v>225.61728740112966</v>
      </c>
      <c r="Q296" s="530">
        <v>167.70403558090504</v>
      </c>
      <c r="R296" s="530">
        <v>78.826966150324139</v>
      </c>
      <c r="S296" s="530">
        <v>16.059033645001549</v>
      </c>
      <c r="T296" s="530">
        <v>2037.5116649994659</v>
      </c>
      <c r="U296" s="530" t="s">
        <v>61</v>
      </c>
    </row>
    <row r="297" spans="1:21" ht="13.8" x14ac:dyDescent="0.3">
      <c r="A297" s="530" t="str">
        <f t="shared" si="8"/>
        <v>Conwy.2016.Vehicle Days.SFR</v>
      </c>
      <c r="B297" s="530" t="s">
        <v>219</v>
      </c>
      <c r="C297" s="530" t="str">
        <f t="shared" si="9"/>
        <v>2016.Vehicle Days.SFR</v>
      </c>
      <c r="D297" s="530" t="s">
        <v>235</v>
      </c>
      <c r="E297" s="530" t="s">
        <v>21</v>
      </c>
      <c r="F297" s="530" t="s">
        <v>18</v>
      </c>
      <c r="G297" s="530" t="s">
        <v>18</v>
      </c>
      <c r="H297" s="530">
        <v>18.621293181818178</v>
      </c>
      <c r="I297" s="530">
        <v>6.256754509090908</v>
      </c>
      <c r="J297" s="530">
        <v>7.1174720606060609</v>
      </c>
      <c r="K297" s="530">
        <v>16.982619381818179</v>
      </c>
      <c r="L297" s="530">
        <v>10.924491999999999</v>
      </c>
      <c r="M297" s="530">
        <v>8.415334814727272</v>
      </c>
      <c r="N297" s="530">
        <v>13.655614999999999</v>
      </c>
      <c r="O297" s="530">
        <v>14.455751277696969</v>
      </c>
      <c r="P297" s="530">
        <v>7.4458854632909084</v>
      </c>
      <c r="Q297" s="530">
        <v>7.4385859163636354</v>
      </c>
      <c r="R297" s="530">
        <v>5.7961878577272694</v>
      </c>
      <c r="S297" s="530">
        <v>16.783992254545456</v>
      </c>
      <c r="T297" s="530">
        <v>133.89398371768485</v>
      </c>
      <c r="U297" s="530" t="s">
        <v>61</v>
      </c>
    </row>
    <row r="298" spans="1:21" ht="13.8" x14ac:dyDescent="0.3">
      <c r="A298" s="530" t="str">
        <f t="shared" si="8"/>
        <v>Conwy.2016.Vehicle Days.Day Visitor</v>
      </c>
      <c r="B298" s="530" t="s">
        <v>219</v>
      </c>
      <c r="C298" s="530" t="str">
        <f t="shared" si="9"/>
        <v>2016.Vehicle Days.Day Visitor</v>
      </c>
      <c r="D298" s="530" t="s">
        <v>235</v>
      </c>
      <c r="E298" s="530" t="s">
        <v>21</v>
      </c>
      <c r="F298" s="530" t="s">
        <v>71</v>
      </c>
      <c r="G298" s="530" t="s">
        <v>71</v>
      </c>
      <c r="H298" s="530">
        <v>13.494422131957377</v>
      </c>
      <c r="I298" s="530">
        <v>71.92441606030998</v>
      </c>
      <c r="J298" s="530">
        <v>89.229041521804703</v>
      </c>
      <c r="K298" s="530">
        <v>143.99866639774473</v>
      </c>
      <c r="L298" s="530">
        <v>180.75656768719998</v>
      </c>
      <c r="M298" s="530">
        <v>186.50884000385699</v>
      </c>
      <c r="N298" s="530">
        <v>238.30243990646903</v>
      </c>
      <c r="O298" s="530">
        <v>318.03914136636797</v>
      </c>
      <c r="P298" s="530">
        <v>164.94206931946928</v>
      </c>
      <c r="Q298" s="530">
        <v>101.45014187082427</v>
      </c>
      <c r="R298" s="530">
        <v>26.791220624620106</v>
      </c>
      <c r="S298" s="530">
        <v>8.8869924123499775</v>
      </c>
      <c r="T298" s="530">
        <v>1544.3239593029743</v>
      </c>
      <c r="U298" s="530" t="s">
        <v>61</v>
      </c>
    </row>
    <row r="299" spans="1:21" ht="13.8" x14ac:dyDescent="0.3">
      <c r="A299" s="530" t="str">
        <f t="shared" si="8"/>
        <v>Conwy.2016.Vehicle Days.Total</v>
      </c>
      <c r="B299" s="530" t="s">
        <v>219</v>
      </c>
      <c r="C299" s="530" t="str">
        <f t="shared" si="9"/>
        <v>2016.Vehicle Days.Total</v>
      </c>
      <c r="D299" s="530" t="s">
        <v>235</v>
      </c>
      <c r="E299" s="530" t="s">
        <v>21</v>
      </c>
      <c r="F299" s="530" t="s">
        <v>54</v>
      </c>
      <c r="G299" s="530" t="s">
        <v>54</v>
      </c>
      <c r="H299" s="530">
        <v>69.694252391979475</v>
      </c>
      <c r="I299" s="530">
        <v>141.66666270057834</v>
      </c>
      <c r="J299" s="530">
        <v>303.72868346763249</v>
      </c>
      <c r="K299" s="530">
        <v>399.81161730856229</v>
      </c>
      <c r="L299" s="530">
        <v>458.97745905777242</v>
      </c>
      <c r="M299" s="530">
        <v>523.46145886189026</v>
      </c>
      <c r="N299" s="530">
        <v>634.33704902236286</v>
      </c>
      <c r="O299" s="530">
        <v>708.78418624595656</v>
      </c>
      <c r="P299" s="530">
        <v>442.37129383538092</v>
      </c>
      <c r="Q299" s="530">
        <v>315.60093809470385</v>
      </c>
      <c r="R299" s="530">
        <v>158.52953117903883</v>
      </c>
      <c r="S299" s="530">
        <v>78.641632362035509</v>
      </c>
      <c r="T299" s="530">
        <v>4235.6047645278941</v>
      </c>
      <c r="U299" s="530" t="s">
        <v>61</v>
      </c>
    </row>
    <row r="300" spans="1:21" ht="13.8" x14ac:dyDescent="0.3">
      <c r="A300" s="530" t="str">
        <f t="shared" si="8"/>
        <v>Conwy.2016.Vehicle Numbers.Serviced Accommodation</v>
      </c>
      <c r="B300" s="530" t="s">
        <v>219</v>
      </c>
      <c r="C300" s="530" t="str">
        <f t="shared" si="9"/>
        <v>2016.Vehicle Numbers.Serviced Accommodation</v>
      </c>
      <c r="D300" s="530" t="s">
        <v>235</v>
      </c>
      <c r="E300" s="530" t="s">
        <v>22</v>
      </c>
      <c r="F300" s="530" t="s">
        <v>43</v>
      </c>
      <c r="G300" s="530" t="s">
        <v>43</v>
      </c>
      <c r="H300" s="530">
        <v>17.558990903732145</v>
      </c>
      <c r="I300" s="530">
        <v>30.278113203125734</v>
      </c>
      <c r="J300" s="530">
        <v>22.228641462374942</v>
      </c>
      <c r="K300" s="530">
        <v>21.6360660606952</v>
      </c>
      <c r="L300" s="530">
        <v>30.028056017294407</v>
      </c>
      <c r="M300" s="530">
        <v>24.624412302317467</v>
      </c>
      <c r="N300" s="530">
        <v>23.658904000589821</v>
      </c>
      <c r="O300" s="530">
        <v>29.751465781257586</v>
      </c>
      <c r="P300" s="530">
        <v>22.415260325147138</v>
      </c>
      <c r="Q300" s="530">
        <v>22.686384423212292</v>
      </c>
      <c r="R300" s="530">
        <v>26.917184412800005</v>
      </c>
      <c r="S300" s="530">
        <v>22.712651224852159</v>
      </c>
      <c r="T300" s="530">
        <v>294.49613011739888</v>
      </c>
      <c r="U300" s="530" t="s">
        <v>61</v>
      </c>
    </row>
    <row r="301" spans="1:21" ht="13.8" x14ac:dyDescent="0.3">
      <c r="A301" s="530" t="str">
        <f t="shared" si="8"/>
        <v>Conwy.2016.Vehicle Numbers.Non-Serviced Accommodation</v>
      </c>
      <c r="B301" s="530" t="s">
        <v>219</v>
      </c>
      <c r="C301" s="530" t="str">
        <f t="shared" si="9"/>
        <v>2016.Vehicle Numbers.Non-Serviced Accommodation</v>
      </c>
      <c r="D301" s="530" t="s">
        <v>235</v>
      </c>
      <c r="E301" s="530" t="s">
        <v>22</v>
      </c>
      <c r="F301" s="530" t="s">
        <v>48</v>
      </c>
      <c r="G301" s="530" t="s">
        <v>48</v>
      </c>
      <c r="H301" s="530">
        <v>3.133477151749426</v>
      </c>
      <c r="I301" s="530">
        <v>4.6425538103227</v>
      </c>
      <c r="J301" s="530">
        <v>33.632608618912599</v>
      </c>
      <c r="K301" s="530">
        <v>31.158685424463751</v>
      </c>
      <c r="L301" s="530">
        <v>30.519267904781636</v>
      </c>
      <c r="M301" s="530">
        <v>40.669289598730956</v>
      </c>
      <c r="N301" s="530">
        <v>47.978828469744442</v>
      </c>
      <c r="O301" s="530">
        <v>42.540860356345078</v>
      </c>
      <c r="P301" s="530">
        <v>32.698157594366613</v>
      </c>
      <c r="Q301" s="530">
        <v>23.957719368700719</v>
      </c>
      <c r="R301" s="530">
        <v>17.517103588960918</v>
      </c>
      <c r="S301" s="530">
        <v>2.8676845794645622</v>
      </c>
      <c r="T301" s="530">
        <v>311.31623646654339</v>
      </c>
      <c r="U301" s="530" t="s">
        <v>61</v>
      </c>
    </row>
    <row r="302" spans="1:21" ht="13.8" x14ac:dyDescent="0.3">
      <c r="A302" s="530" t="str">
        <f t="shared" si="8"/>
        <v>Conwy.2016.Vehicle Numbers.SFR</v>
      </c>
      <c r="B302" s="530" t="s">
        <v>219</v>
      </c>
      <c r="C302" s="530" t="str">
        <f t="shared" si="9"/>
        <v>2016.Vehicle Numbers.SFR</v>
      </c>
      <c r="D302" s="530" t="s">
        <v>235</v>
      </c>
      <c r="E302" s="530" t="s">
        <v>22</v>
      </c>
      <c r="F302" s="530" t="s">
        <v>18</v>
      </c>
      <c r="G302" s="530" t="s">
        <v>18</v>
      </c>
      <c r="H302" s="530">
        <v>7.4485172727272726</v>
      </c>
      <c r="I302" s="530">
        <v>2.9794069090909088</v>
      </c>
      <c r="J302" s="530">
        <v>3.310452121212121</v>
      </c>
      <c r="K302" s="530">
        <v>6.2898590303030293</v>
      </c>
      <c r="L302" s="530">
        <v>4.9656781818181805</v>
      </c>
      <c r="M302" s="530">
        <v>4.0073022927272719</v>
      </c>
      <c r="N302" s="530">
        <v>5.4622459999999995</v>
      </c>
      <c r="O302" s="530">
        <v>5.5599043375757562</v>
      </c>
      <c r="P302" s="530">
        <v>3.431283623636364</v>
      </c>
      <c r="Q302" s="530">
        <v>3.4759747272727268</v>
      </c>
      <c r="R302" s="530">
        <v>2.8552649545454538</v>
      </c>
      <c r="S302" s="530">
        <v>6.4553816363636365</v>
      </c>
      <c r="T302" s="530">
        <v>56.241271087272722</v>
      </c>
      <c r="U302" s="530" t="s">
        <v>61</v>
      </c>
    </row>
    <row r="303" spans="1:21" ht="13.8" x14ac:dyDescent="0.3">
      <c r="A303" s="530" t="str">
        <f t="shared" si="8"/>
        <v>Conwy.2016.Vehicle Numbers.Day Visitor</v>
      </c>
      <c r="B303" s="530" t="s">
        <v>219</v>
      </c>
      <c r="C303" s="530" t="str">
        <f t="shared" si="9"/>
        <v>2016.Vehicle Numbers.Day Visitor</v>
      </c>
      <c r="D303" s="530" t="s">
        <v>235</v>
      </c>
      <c r="E303" s="530" t="s">
        <v>22</v>
      </c>
      <c r="F303" s="530" t="s">
        <v>71</v>
      </c>
      <c r="G303" s="530" t="s">
        <v>71</v>
      </c>
      <c r="H303" s="530">
        <v>13.494422131957377</v>
      </c>
      <c r="I303" s="530">
        <v>71.92441606030998</v>
      </c>
      <c r="J303" s="530">
        <v>89.229041521804703</v>
      </c>
      <c r="K303" s="530">
        <v>143.99866639774473</v>
      </c>
      <c r="L303" s="530">
        <v>180.75656768719998</v>
      </c>
      <c r="M303" s="530">
        <v>186.50884000385699</v>
      </c>
      <c r="N303" s="530">
        <v>238.30243990646903</v>
      </c>
      <c r="O303" s="530">
        <v>318.03914136636797</v>
      </c>
      <c r="P303" s="530">
        <v>164.94206931946928</v>
      </c>
      <c r="Q303" s="530">
        <v>101.45014187082427</v>
      </c>
      <c r="R303" s="530">
        <v>26.791220624620106</v>
      </c>
      <c r="S303" s="530">
        <v>8.8869924123499775</v>
      </c>
      <c r="T303" s="530">
        <v>1544.3239593029743</v>
      </c>
      <c r="U303" s="530" t="s">
        <v>61</v>
      </c>
    </row>
    <row r="304" spans="1:21" ht="13.8" x14ac:dyDescent="0.3">
      <c r="A304" s="530" t="str">
        <f t="shared" si="8"/>
        <v>Conwy.2016.Vehicle Numbers.Total</v>
      </c>
      <c r="B304" s="530" t="s">
        <v>219</v>
      </c>
      <c r="C304" s="530" t="str">
        <f t="shared" si="9"/>
        <v>2016.Vehicle Numbers.Total</v>
      </c>
      <c r="D304" s="530" t="s">
        <v>235</v>
      </c>
      <c r="E304" s="530" t="s">
        <v>22</v>
      </c>
      <c r="F304" s="530" t="s">
        <v>54</v>
      </c>
      <c r="G304" s="530" t="s">
        <v>54</v>
      </c>
      <c r="H304" s="530">
        <v>41.635407460166221</v>
      </c>
      <c r="I304" s="530">
        <v>109.82448998284933</v>
      </c>
      <c r="J304" s="530">
        <v>148.40074372430436</v>
      </c>
      <c r="K304" s="530">
        <v>203.0832769132067</v>
      </c>
      <c r="L304" s="530">
        <v>246.2695697910942</v>
      </c>
      <c r="M304" s="530">
        <v>255.80984419763269</v>
      </c>
      <c r="N304" s="530">
        <v>315.40241837680333</v>
      </c>
      <c r="O304" s="530">
        <v>395.8913718415464</v>
      </c>
      <c r="P304" s="530">
        <v>223.48677086261938</v>
      </c>
      <c r="Q304" s="530">
        <v>151.57022039001001</v>
      </c>
      <c r="R304" s="530">
        <v>74.080773580926476</v>
      </c>
      <c r="S304" s="530">
        <v>40.922709853030334</v>
      </c>
      <c r="T304" s="530">
        <v>2206.3775969741896</v>
      </c>
      <c r="U304" s="530" t="s">
        <v>61</v>
      </c>
    </row>
    <row r="305" spans="1:21" ht="13.8" x14ac:dyDescent="0.3">
      <c r="A305" s="530" t="str">
        <f t="shared" si="8"/>
        <v>Conwy.2016.Accommodation.Serviced Accommodation</v>
      </c>
      <c r="B305" s="530" t="s">
        <v>219</v>
      </c>
      <c r="C305" s="530" t="str">
        <f t="shared" si="9"/>
        <v>2016.Accommodation.Serviced Accommodation</v>
      </c>
      <c r="D305" s="530" t="s">
        <v>235</v>
      </c>
      <c r="E305" s="530" t="s">
        <v>23</v>
      </c>
      <c r="F305" s="530" t="s">
        <v>43</v>
      </c>
      <c r="G305" s="530" t="s">
        <v>43</v>
      </c>
      <c r="H305" s="530">
        <v>8302</v>
      </c>
      <c r="I305" s="530">
        <v>9059</v>
      </c>
      <c r="J305" s="530">
        <v>9873.6</v>
      </c>
      <c r="K305" s="530">
        <v>10247.799999999999</v>
      </c>
      <c r="L305" s="530">
        <v>10255</v>
      </c>
      <c r="M305" s="530">
        <v>10259.799999999999</v>
      </c>
      <c r="N305" s="530">
        <v>10259.799999999999</v>
      </c>
      <c r="O305" s="530">
        <v>10259.799999999999</v>
      </c>
      <c r="P305" s="530">
        <v>10257.400000000001</v>
      </c>
      <c r="Q305" s="530">
        <v>10149.6</v>
      </c>
      <c r="R305" s="530">
        <v>9775.7999999999993</v>
      </c>
      <c r="S305" s="530">
        <v>9025.2000000000007</v>
      </c>
      <c r="T305" s="530">
        <v>10259.799999999999</v>
      </c>
      <c r="U305" s="530" t="s">
        <v>58</v>
      </c>
    </row>
    <row r="306" spans="1:21" ht="13.8" x14ac:dyDescent="0.3">
      <c r="A306" s="530" t="str">
        <f t="shared" si="8"/>
        <v>Conwy.2016.Accommodation.Non-Serviced Accommodation</v>
      </c>
      <c r="B306" s="530" t="s">
        <v>219</v>
      </c>
      <c r="C306" s="530" t="str">
        <f t="shared" si="9"/>
        <v>2016.Accommodation.Non-Serviced Accommodation</v>
      </c>
      <c r="D306" s="530" t="s">
        <v>235</v>
      </c>
      <c r="E306" s="530" t="s">
        <v>23</v>
      </c>
      <c r="F306" s="530" t="s">
        <v>48</v>
      </c>
      <c r="G306" s="530" t="s">
        <v>48</v>
      </c>
      <c r="H306" s="530">
        <v>5814.7999999999993</v>
      </c>
      <c r="I306" s="530">
        <v>6171.7999999999993</v>
      </c>
      <c r="J306" s="530">
        <v>41068</v>
      </c>
      <c r="K306" s="530">
        <v>47826.400000000009</v>
      </c>
      <c r="L306" s="530">
        <v>48038.799999999996</v>
      </c>
      <c r="M306" s="530">
        <v>48038.799999999996</v>
      </c>
      <c r="N306" s="530">
        <v>48040.799999999996</v>
      </c>
      <c r="O306" s="530">
        <v>48040.799999999996</v>
      </c>
      <c r="P306" s="530">
        <v>48038.8</v>
      </c>
      <c r="Q306" s="530">
        <v>47817.599999999999</v>
      </c>
      <c r="R306" s="530">
        <v>28632.6</v>
      </c>
      <c r="S306" s="530">
        <v>7726.9999999999982</v>
      </c>
      <c r="T306" s="530">
        <v>48040.799999999996</v>
      </c>
      <c r="U306" s="530" t="s">
        <v>58</v>
      </c>
    </row>
    <row r="307" spans="1:21" ht="13.8" x14ac:dyDescent="0.3">
      <c r="A307" s="530" t="str">
        <f t="shared" si="8"/>
        <v>Conwy.2016.Accommodation.Total</v>
      </c>
      <c r="B307" s="530" t="s">
        <v>219</v>
      </c>
      <c r="C307" s="530" t="str">
        <f t="shared" si="9"/>
        <v>2016.Accommodation.Total</v>
      </c>
      <c r="D307" s="530" t="s">
        <v>235</v>
      </c>
      <c r="E307" s="530" t="s">
        <v>23</v>
      </c>
      <c r="F307" s="530" t="s">
        <v>54</v>
      </c>
      <c r="G307" s="530" t="s">
        <v>54</v>
      </c>
      <c r="H307" s="530">
        <v>14116.8</v>
      </c>
      <c r="I307" s="530">
        <v>15230.8</v>
      </c>
      <c r="J307" s="530">
        <v>50941.599999999999</v>
      </c>
      <c r="K307" s="530">
        <v>58074.200000000012</v>
      </c>
      <c r="L307" s="530">
        <v>58293.799999999996</v>
      </c>
      <c r="M307" s="530">
        <v>58298.599999999991</v>
      </c>
      <c r="N307" s="530">
        <v>58300.599999999991</v>
      </c>
      <c r="O307" s="530">
        <v>58300.599999999991</v>
      </c>
      <c r="P307" s="530">
        <v>58296.200000000004</v>
      </c>
      <c r="Q307" s="530">
        <v>57967.199999999997</v>
      </c>
      <c r="R307" s="530">
        <v>38408.399999999994</v>
      </c>
      <c r="S307" s="530">
        <v>16752.199999999997</v>
      </c>
      <c r="T307" s="530">
        <v>58300.599999999991</v>
      </c>
      <c r="U307" s="530" t="s">
        <v>58</v>
      </c>
    </row>
    <row r="308" spans="1:21" ht="13.8" x14ac:dyDescent="0.3">
      <c r="A308" s="530" t="str">
        <f t="shared" si="8"/>
        <v>Conwy.2016.Economic Impact.Total</v>
      </c>
      <c r="B308" s="530" t="s">
        <v>219</v>
      </c>
      <c r="C308" s="530" t="str">
        <f t="shared" si="9"/>
        <v>2016.Economic Impact.Total</v>
      </c>
      <c r="D308" s="530" t="s">
        <v>235</v>
      </c>
      <c r="E308" s="530" t="s">
        <v>17</v>
      </c>
      <c r="F308" s="530" t="s">
        <v>54</v>
      </c>
      <c r="G308" s="530" t="s">
        <v>54</v>
      </c>
      <c r="H308" s="530">
        <v>16263.169226400623</v>
      </c>
      <c r="I308" s="530">
        <v>28408.006352466749</v>
      </c>
      <c r="J308" s="530">
        <v>53492.936292000559</v>
      </c>
      <c r="K308" s="530">
        <v>75575.793609905028</v>
      </c>
      <c r="L308" s="530">
        <v>87516.271273931576</v>
      </c>
      <c r="M308" s="530">
        <v>92452.777975554811</v>
      </c>
      <c r="N308" s="530">
        <v>125189.78758886152</v>
      </c>
      <c r="O308" s="530">
        <v>144438.67564697633</v>
      </c>
      <c r="P308" s="530">
        <v>92721.861100556533</v>
      </c>
      <c r="Q308" s="530">
        <v>55679.404881900002</v>
      </c>
      <c r="R308" s="530">
        <v>31346.872110733151</v>
      </c>
      <c r="S308" s="530">
        <v>19989.239786165825</v>
      </c>
      <c r="T308" s="530">
        <v>823074.79584545293</v>
      </c>
      <c r="U308" s="530" t="s">
        <v>57</v>
      </c>
    </row>
    <row r="309" spans="1:21" ht="13.8" x14ac:dyDescent="0.3">
      <c r="A309" s="530" t="str">
        <f t="shared" si="8"/>
        <v>Conwy.2017.Economic Impact.Indirect Expenditure</v>
      </c>
      <c r="B309" s="530" t="s">
        <v>219</v>
      </c>
      <c r="C309" s="530" t="str">
        <f t="shared" si="9"/>
        <v>2017.Economic Impact.Indirect Expenditure</v>
      </c>
      <c r="D309" s="530" t="s">
        <v>236</v>
      </c>
      <c r="E309" s="530" t="s">
        <v>17</v>
      </c>
      <c r="F309" s="530" t="s">
        <v>45</v>
      </c>
      <c r="G309" s="530" t="s">
        <v>45</v>
      </c>
      <c r="H309" s="530">
        <v>4570.5251948996392</v>
      </c>
      <c r="I309" s="530">
        <v>7899.4768186138635</v>
      </c>
      <c r="J309" s="530">
        <v>12307.973300086491</v>
      </c>
      <c r="K309" s="530">
        <v>23971.0880765978</v>
      </c>
      <c r="L309" s="530">
        <v>23522.957271508803</v>
      </c>
      <c r="M309" s="530">
        <v>23346.057208001992</v>
      </c>
      <c r="N309" s="530">
        <v>32901.207505220322</v>
      </c>
      <c r="O309" s="530">
        <v>36741.595786532926</v>
      </c>
      <c r="P309" s="530">
        <v>24097.706917773608</v>
      </c>
      <c r="Q309" s="530">
        <v>15707.546420617164</v>
      </c>
      <c r="R309" s="530">
        <v>8002.0237511497116</v>
      </c>
      <c r="S309" s="530">
        <v>4676.5335861513959</v>
      </c>
      <c r="T309" s="530">
        <v>217744.69183715372</v>
      </c>
      <c r="U309" s="530" t="s">
        <v>57</v>
      </c>
    </row>
    <row r="310" spans="1:21" ht="13.8" x14ac:dyDescent="0.3">
      <c r="A310" s="530" t="str">
        <f t="shared" si="8"/>
        <v>Conwy.2017.Economic Impact.Direct Revenue</v>
      </c>
      <c r="B310" s="530" t="s">
        <v>219</v>
      </c>
      <c r="C310" s="530" t="str">
        <f t="shared" si="9"/>
        <v>2017.Economic Impact.Direct Revenue</v>
      </c>
      <c r="D310" s="530" t="s">
        <v>236</v>
      </c>
      <c r="E310" s="530" t="s">
        <v>17</v>
      </c>
      <c r="F310" s="530" t="s">
        <v>46</v>
      </c>
      <c r="G310" s="530" t="s">
        <v>46</v>
      </c>
      <c r="H310" s="530">
        <v>12165.695787865403</v>
      </c>
      <c r="I310" s="530">
        <v>20423.195921313669</v>
      </c>
      <c r="J310" s="530">
        <v>31323.972949214771</v>
      </c>
      <c r="K310" s="530">
        <v>59832.451110129718</v>
      </c>
      <c r="L310" s="530">
        <v>59275.858108084103</v>
      </c>
      <c r="M310" s="530">
        <v>58240.893054689215</v>
      </c>
      <c r="N310" s="530">
        <v>81594.869682779492</v>
      </c>
      <c r="O310" s="530">
        <v>90968.543065732025</v>
      </c>
      <c r="P310" s="530">
        <v>59940.536665934007</v>
      </c>
      <c r="Q310" s="530">
        <v>39087.051641135811</v>
      </c>
      <c r="R310" s="530">
        <v>20949.09966784238</v>
      </c>
      <c r="S310" s="530">
        <v>12295.387505436891</v>
      </c>
      <c r="T310" s="530">
        <v>546097.5551601575</v>
      </c>
      <c r="U310" s="530" t="s">
        <v>57</v>
      </c>
    </row>
    <row r="311" spans="1:21" ht="13.8" x14ac:dyDescent="0.3">
      <c r="A311" s="530" t="str">
        <f t="shared" si="8"/>
        <v>Conwy.2017.Economic Impact.VAT</v>
      </c>
      <c r="B311" s="530" t="s">
        <v>219</v>
      </c>
      <c r="C311" s="530" t="str">
        <f t="shared" si="9"/>
        <v>2017.Economic Impact.VAT</v>
      </c>
      <c r="D311" s="530" t="s">
        <v>236</v>
      </c>
      <c r="E311" s="530" t="s">
        <v>17</v>
      </c>
      <c r="F311" s="530" t="s">
        <v>47</v>
      </c>
      <c r="G311" s="530" t="s">
        <v>47</v>
      </c>
      <c r="H311" s="530">
        <v>2433.1391575730813</v>
      </c>
      <c r="I311" s="530">
        <v>4084.6391842627336</v>
      </c>
      <c r="J311" s="530">
        <v>6264.7945898429543</v>
      </c>
      <c r="K311" s="530">
        <v>11966.490222025945</v>
      </c>
      <c r="L311" s="530">
        <v>11855.171621616822</v>
      </c>
      <c r="M311" s="530">
        <v>11648.178610937841</v>
      </c>
      <c r="N311" s="530">
        <v>16318.9739365559</v>
      </c>
      <c r="O311" s="530">
        <v>18193.708613146406</v>
      </c>
      <c r="P311" s="530">
        <v>11988.107333186803</v>
      </c>
      <c r="Q311" s="530">
        <v>7817.4103282271635</v>
      </c>
      <c r="R311" s="530">
        <v>4189.8199335684767</v>
      </c>
      <c r="S311" s="530">
        <v>2459.0775010873786</v>
      </c>
      <c r="T311" s="530">
        <v>109219.5110320315</v>
      </c>
      <c r="U311" s="530" t="s">
        <v>57</v>
      </c>
    </row>
    <row r="312" spans="1:21" ht="13.8" x14ac:dyDescent="0.3">
      <c r="A312" s="530" t="str">
        <f t="shared" si="8"/>
        <v>Conwy.2017.Economic Impact.Serviced Accommodation</v>
      </c>
      <c r="B312" s="530" t="s">
        <v>219</v>
      </c>
      <c r="C312" s="530" t="str">
        <f t="shared" si="9"/>
        <v>2017.Economic Impact.Serviced Accommodation</v>
      </c>
      <c r="D312" s="530" t="s">
        <v>236</v>
      </c>
      <c r="E312" s="530" t="s">
        <v>17</v>
      </c>
      <c r="F312" s="530" t="s">
        <v>43</v>
      </c>
      <c r="G312" s="530" t="s">
        <v>43</v>
      </c>
      <c r="H312" s="530">
        <v>10429.611091801824</v>
      </c>
      <c r="I312" s="530">
        <v>13207.833638921174</v>
      </c>
      <c r="J312" s="530">
        <v>11272.399905864731</v>
      </c>
      <c r="K312" s="530">
        <v>14781.689699243254</v>
      </c>
      <c r="L312" s="530">
        <v>18241.92498893899</v>
      </c>
      <c r="M312" s="530">
        <v>15030.112934430879</v>
      </c>
      <c r="N312" s="530">
        <v>19574.525065633556</v>
      </c>
      <c r="O312" s="530">
        <v>22905.353384836133</v>
      </c>
      <c r="P312" s="530">
        <v>18384.259052426998</v>
      </c>
      <c r="Q312" s="530">
        <v>10623.209062861117</v>
      </c>
      <c r="R312" s="530">
        <v>13303.714952594564</v>
      </c>
      <c r="S312" s="530">
        <v>10221.022112449125</v>
      </c>
      <c r="T312" s="530">
        <v>177975.65589000235</v>
      </c>
      <c r="U312" s="530" t="s">
        <v>57</v>
      </c>
    </row>
    <row r="313" spans="1:21" ht="13.8" x14ac:dyDescent="0.3">
      <c r="A313" s="530" t="str">
        <f t="shared" si="8"/>
        <v>Conwy.2017.Economic Impact.Non-Serviced Accommodation</v>
      </c>
      <c r="B313" s="530" t="s">
        <v>219</v>
      </c>
      <c r="C313" s="530" t="str">
        <f t="shared" si="9"/>
        <v>2017.Economic Impact.Non-Serviced Accommodation</v>
      </c>
      <c r="D313" s="530" t="s">
        <v>236</v>
      </c>
      <c r="E313" s="530" t="s">
        <v>17</v>
      </c>
      <c r="F313" s="530" t="s">
        <v>48</v>
      </c>
      <c r="G313" s="530" t="s">
        <v>48</v>
      </c>
      <c r="H313" s="530">
        <v>4023.9460463933315</v>
      </c>
      <c r="I313" s="530">
        <v>4939.5804552678619</v>
      </c>
      <c r="J313" s="530">
        <v>26932.153366543847</v>
      </c>
      <c r="K313" s="530">
        <v>40575.238040989148</v>
      </c>
      <c r="L313" s="530">
        <v>37635.065784901839</v>
      </c>
      <c r="M313" s="530">
        <v>44308.687001972314</v>
      </c>
      <c r="N313" s="530">
        <v>58408.658888867074</v>
      </c>
      <c r="O313" s="530">
        <v>57198.615410962288</v>
      </c>
      <c r="P313" s="530">
        <v>41926.221443377275</v>
      </c>
      <c r="Q313" s="530">
        <v>35252.663180469739</v>
      </c>
      <c r="R313" s="530">
        <v>13235.038004584565</v>
      </c>
      <c r="S313" s="530">
        <v>5497.2675299741695</v>
      </c>
      <c r="T313" s="530">
        <v>369933.1351543034</v>
      </c>
      <c r="U313" s="530" t="s">
        <v>57</v>
      </c>
    </row>
    <row r="314" spans="1:21" ht="13.8" x14ac:dyDescent="0.3">
      <c r="A314" s="530" t="str">
        <f t="shared" si="8"/>
        <v>Conwy.2017.Economic Impact.SFR</v>
      </c>
      <c r="B314" s="530" t="s">
        <v>219</v>
      </c>
      <c r="C314" s="530" t="str">
        <f t="shared" si="9"/>
        <v>2017.Economic Impact.SFR</v>
      </c>
      <c r="D314" s="530" t="s">
        <v>236</v>
      </c>
      <c r="E314" s="530" t="s">
        <v>17</v>
      </c>
      <c r="F314" s="530" t="s">
        <v>18</v>
      </c>
      <c r="G314" s="530" t="s">
        <v>18</v>
      </c>
      <c r="H314" s="530">
        <v>1959.0906617275905</v>
      </c>
      <c r="I314" s="530">
        <v>658.25446234047047</v>
      </c>
      <c r="J314" s="530">
        <v>748.80798626032367</v>
      </c>
      <c r="K314" s="530">
        <v>1786.6906834955628</v>
      </c>
      <c r="L314" s="530">
        <v>1149.3331882135199</v>
      </c>
      <c r="M314" s="530">
        <v>885.35225184793285</v>
      </c>
      <c r="N314" s="530">
        <v>1436.6664852668998</v>
      </c>
      <c r="O314" s="530">
        <v>1520.8464342339323</v>
      </c>
      <c r="P314" s="530">
        <v>783.35937987751208</v>
      </c>
      <c r="Q314" s="530">
        <v>782.59141633811498</v>
      </c>
      <c r="R314" s="530">
        <v>609.7996199737413</v>
      </c>
      <c r="S314" s="530">
        <v>1765.7937164371351</v>
      </c>
      <c r="T314" s="530">
        <v>14086.586286012734</v>
      </c>
      <c r="U314" s="530" t="s">
        <v>57</v>
      </c>
    </row>
    <row r="315" spans="1:21" ht="13.8" x14ac:dyDescent="0.3">
      <c r="A315" s="530" t="str">
        <f t="shared" si="8"/>
        <v>Conwy.2017.Economic Impact.Day Visitor</v>
      </c>
      <c r="B315" s="530" t="s">
        <v>219</v>
      </c>
      <c r="C315" s="530" t="str">
        <f t="shared" si="9"/>
        <v>2017.Economic Impact.Day Visitor</v>
      </c>
      <c r="D315" s="530" t="s">
        <v>236</v>
      </c>
      <c r="E315" s="530" t="s">
        <v>17</v>
      </c>
      <c r="F315" s="530" t="s">
        <v>71</v>
      </c>
      <c r="G315" s="530" t="s">
        <v>71</v>
      </c>
      <c r="H315" s="530">
        <v>2756.7123404153795</v>
      </c>
      <c r="I315" s="530">
        <v>13601.643367660758</v>
      </c>
      <c r="J315" s="530">
        <v>10943.379580475317</v>
      </c>
      <c r="K315" s="530">
        <v>38626.41098502549</v>
      </c>
      <c r="L315" s="530">
        <v>37627.66303915537</v>
      </c>
      <c r="M315" s="530">
        <v>33010.976685377915</v>
      </c>
      <c r="N315" s="530">
        <v>51395.200684788164</v>
      </c>
      <c r="O315" s="530">
        <v>64279.032235379011</v>
      </c>
      <c r="P315" s="530">
        <v>34932.511041212638</v>
      </c>
      <c r="Q315" s="530">
        <v>15953.544730311172</v>
      </c>
      <c r="R315" s="530">
        <v>5992.3907754076954</v>
      </c>
      <c r="S315" s="530">
        <v>1946.9152338152358</v>
      </c>
      <c r="T315" s="530">
        <v>311066.38069902419</v>
      </c>
      <c r="U315" s="530" t="s">
        <v>57</v>
      </c>
    </row>
    <row r="316" spans="1:21" ht="13.8" x14ac:dyDescent="0.3">
      <c r="A316" s="530" t="str">
        <f t="shared" si="8"/>
        <v>Conwy.2017.Economic Impact.Accommodation</v>
      </c>
      <c r="B316" s="530" t="s">
        <v>219</v>
      </c>
      <c r="C316" s="530" t="str">
        <f t="shared" si="9"/>
        <v>2017.Economic Impact.Accommodation</v>
      </c>
      <c r="D316" s="530" t="s">
        <v>236</v>
      </c>
      <c r="E316" s="530" t="s">
        <v>17</v>
      </c>
      <c r="F316" s="530" t="s">
        <v>23</v>
      </c>
      <c r="G316" s="530" t="s">
        <v>23</v>
      </c>
      <c r="H316" s="530">
        <v>4992.1120719853971</v>
      </c>
      <c r="I316" s="530">
        <v>6332.8763473060453</v>
      </c>
      <c r="J316" s="530">
        <v>7662.1665539955502</v>
      </c>
      <c r="K316" s="530">
        <v>10473.342379576407</v>
      </c>
      <c r="L316" s="530">
        <v>11244.726251325965</v>
      </c>
      <c r="M316" s="530">
        <v>10775.473908201158</v>
      </c>
      <c r="N316" s="530">
        <v>17091.175637957091</v>
      </c>
      <c r="O316" s="530">
        <v>18888.4051584849</v>
      </c>
      <c r="P316" s="530">
        <v>15543.528556971523</v>
      </c>
      <c r="Q316" s="530">
        <v>8385.5743411365347</v>
      </c>
      <c r="R316" s="530">
        <v>7027.0452456734483</v>
      </c>
      <c r="S316" s="530">
        <v>5315.0028776936679</v>
      </c>
      <c r="T316" s="530">
        <v>123731.4293303077</v>
      </c>
      <c r="U316" s="530" t="s">
        <v>57</v>
      </c>
    </row>
    <row r="317" spans="1:21" ht="13.8" x14ac:dyDescent="0.3">
      <c r="A317" s="530" t="str">
        <f t="shared" si="8"/>
        <v>Conwy.2017.Economic Impact.Food &amp; Drink</v>
      </c>
      <c r="B317" s="530" t="s">
        <v>219</v>
      </c>
      <c r="C317" s="530" t="str">
        <f t="shared" si="9"/>
        <v>2017.Economic Impact.Food &amp; Drink</v>
      </c>
      <c r="D317" s="530" t="s">
        <v>236</v>
      </c>
      <c r="E317" s="530" t="s">
        <v>17</v>
      </c>
      <c r="F317" s="530" t="s">
        <v>49</v>
      </c>
      <c r="G317" s="530" t="s">
        <v>49</v>
      </c>
      <c r="H317" s="530">
        <v>2210.3805106728332</v>
      </c>
      <c r="I317" s="530">
        <v>3751.4855088459444</v>
      </c>
      <c r="J317" s="530">
        <v>7463.6645397387565</v>
      </c>
      <c r="K317" s="530">
        <v>14326.330519610117</v>
      </c>
      <c r="L317" s="530">
        <v>14252.155781620053</v>
      </c>
      <c r="M317" s="530">
        <v>14137.973879849385</v>
      </c>
      <c r="N317" s="530">
        <v>18985.1440517845</v>
      </c>
      <c r="O317" s="530">
        <v>20815.62176583321</v>
      </c>
      <c r="P317" s="530">
        <v>13194.142871998079</v>
      </c>
      <c r="Q317" s="530">
        <v>9720.9387210281948</v>
      </c>
      <c r="R317" s="530">
        <v>4471.1647778990737</v>
      </c>
      <c r="S317" s="530">
        <v>2231.7418177003683</v>
      </c>
      <c r="T317" s="530">
        <v>125560.74474658052</v>
      </c>
      <c r="U317" s="530" t="s">
        <v>57</v>
      </c>
    </row>
    <row r="318" spans="1:21" ht="13.8" x14ac:dyDescent="0.3">
      <c r="A318" s="530" t="str">
        <f t="shared" si="8"/>
        <v>Conwy.2017.Economic Impact.Recreation</v>
      </c>
      <c r="B318" s="530" t="s">
        <v>219</v>
      </c>
      <c r="C318" s="530" t="str">
        <f t="shared" si="9"/>
        <v>2017.Economic Impact.Recreation</v>
      </c>
      <c r="D318" s="530" t="s">
        <v>236</v>
      </c>
      <c r="E318" s="530" t="s">
        <v>17</v>
      </c>
      <c r="F318" s="530" t="s">
        <v>50</v>
      </c>
      <c r="G318" s="530" t="s">
        <v>50</v>
      </c>
      <c r="H318" s="530">
        <v>697.22183412080415</v>
      </c>
      <c r="I318" s="530">
        <v>1194.4419033587455</v>
      </c>
      <c r="J318" s="530">
        <v>2554.2462779470702</v>
      </c>
      <c r="K318" s="530">
        <v>4828.1791401122045</v>
      </c>
      <c r="L318" s="530">
        <v>4398.9304619255918</v>
      </c>
      <c r="M318" s="530">
        <v>4742.7588099762852</v>
      </c>
      <c r="N318" s="530">
        <v>5963.1583740117585</v>
      </c>
      <c r="O318" s="530">
        <v>6219.8415753355121</v>
      </c>
      <c r="P318" s="530">
        <v>4008.5451540987228</v>
      </c>
      <c r="Q318" s="530">
        <v>3092.0728918862787</v>
      </c>
      <c r="R318" s="530">
        <v>1367.6213529471049</v>
      </c>
      <c r="S318" s="530">
        <v>724.47224745459471</v>
      </c>
      <c r="T318" s="530">
        <v>39791.490023174672</v>
      </c>
      <c r="U318" s="530" t="s">
        <v>57</v>
      </c>
    </row>
    <row r="319" spans="1:21" ht="13.8" x14ac:dyDescent="0.3">
      <c r="A319" s="530" t="str">
        <f t="shared" si="8"/>
        <v>Conwy.2017.Economic Impact.Shopping</v>
      </c>
      <c r="B319" s="530" t="s">
        <v>219</v>
      </c>
      <c r="C319" s="530" t="str">
        <f t="shared" si="9"/>
        <v>2017.Economic Impact.Shopping</v>
      </c>
      <c r="D319" s="530" t="s">
        <v>236</v>
      </c>
      <c r="E319" s="530" t="s">
        <v>17</v>
      </c>
      <c r="F319" s="530" t="s">
        <v>51</v>
      </c>
      <c r="G319" s="530" t="s">
        <v>51</v>
      </c>
      <c r="H319" s="530">
        <v>3266.3028605108975</v>
      </c>
      <c r="I319" s="530">
        <v>7230.6183796019377</v>
      </c>
      <c r="J319" s="530">
        <v>10159.25207457877</v>
      </c>
      <c r="K319" s="530">
        <v>23185.633412699244</v>
      </c>
      <c r="L319" s="530">
        <v>22621.607938384357</v>
      </c>
      <c r="M319" s="530">
        <v>21750.97586768799</v>
      </c>
      <c r="N319" s="530">
        <v>30443.731740562533</v>
      </c>
      <c r="O319" s="530">
        <v>35062.292962324354</v>
      </c>
      <c r="P319" s="530">
        <v>20977.691998717783</v>
      </c>
      <c r="Q319" s="530">
        <v>13447.783679148395</v>
      </c>
      <c r="R319" s="530">
        <v>6058.8927879648436</v>
      </c>
      <c r="S319" s="530">
        <v>3027.8673386733303</v>
      </c>
      <c r="T319" s="530">
        <v>197232.65104085443</v>
      </c>
      <c r="U319" s="530" t="s">
        <v>57</v>
      </c>
    </row>
    <row r="320" spans="1:21" ht="13.8" x14ac:dyDescent="0.3">
      <c r="A320" s="530" t="str">
        <f t="shared" si="8"/>
        <v>Conwy.2017.Economic Impact.Transport</v>
      </c>
      <c r="B320" s="530" t="s">
        <v>219</v>
      </c>
      <c r="C320" s="530" t="str">
        <f t="shared" si="9"/>
        <v>2017.Economic Impact.Transport</v>
      </c>
      <c r="D320" s="530" t="s">
        <v>236</v>
      </c>
      <c r="E320" s="530" t="s">
        <v>17</v>
      </c>
      <c r="F320" s="530" t="s">
        <v>52</v>
      </c>
      <c r="G320" s="530" t="s">
        <v>52</v>
      </c>
      <c r="H320" s="530">
        <v>999.6785105754725</v>
      </c>
      <c r="I320" s="530">
        <v>1913.7737822009949</v>
      </c>
      <c r="J320" s="530">
        <v>3484.6435029546228</v>
      </c>
      <c r="K320" s="530">
        <v>7018.965658131744</v>
      </c>
      <c r="L320" s="530">
        <v>6758.4376748281366</v>
      </c>
      <c r="M320" s="530">
        <v>6833.7105889743907</v>
      </c>
      <c r="N320" s="530">
        <v>9111.6598784636099</v>
      </c>
      <c r="O320" s="530">
        <v>9982.3816037540455</v>
      </c>
      <c r="P320" s="530">
        <v>6216.6280841479038</v>
      </c>
      <c r="Q320" s="530">
        <v>4440.6820079364115</v>
      </c>
      <c r="R320" s="530">
        <v>2024.37550335791</v>
      </c>
      <c r="S320" s="530">
        <v>996.30322391493053</v>
      </c>
      <c r="T320" s="530">
        <v>59781.240019240169</v>
      </c>
      <c r="U320" s="530" t="s">
        <v>57</v>
      </c>
    </row>
    <row r="321" spans="1:21" ht="13.8" x14ac:dyDescent="0.3">
      <c r="A321" s="530" t="str">
        <f t="shared" si="8"/>
        <v>Conwy.2017.Economic Impact.Direct Expenditure</v>
      </c>
      <c r="B321" s="530" t="s">
        <v>219</v>
      </c>
      <c r="C321" s="530" t="str">
        <f t="shared" si="9"/>
        <v>2017.Economic Impact.Direct Expenditure</v>
      </c>
      <c r="D321" s="530" t="s">
        <v>236</v>
      </c>
      <c r="E321" s="530" t="s">
        <v>17</v>
      </c>
      <c r="F321" s="530" t="s">
        <v>44</v>
      </c>
      <c r="G321" s="530" t="s">
        <v>44</v>
      </c>
      <c r="H321" s="530">
        <v>14598.834945438488</v>
      </c>
      <c r="I321" s="530">
        <v>24507.8351055764</v>
      </c>
      <c r="J321" s="530">
        <v>37588.767539057728</v>
      </c>
      <c r="K321" s="530">
        <v>71798.941332155664</v>
      </c>
      <c r="L321" s="530">
        <v>71131.029729700909</v>
      </c>
      <c r="M321" s="530">
        <v>69889.071665627052</v>
      </c>
      <c r="N321" s="530">
        <v>97913.84361933537</v>
      </c>
      <c r="O321" s="530">
        <v>109162.25167887844</v>
      </c>
      <c r="P321" s="530">
        <v>71928.643999120817</v>
      </c>
      <c r="Q321" s="530">
        <v>46904.461969362979</v>
      </c>
      <c r="R321" s="530">
        <v>25138.919601410853</v>
      </c>
      <c r="S321" s="530">
        <v>14754.465006524271</v>
      </c>
      <c r="T321" s="530">
        <v>655317.066192189</v>
      </c>
      <c r="U321" s="530" t="s">
        <v>57</v>
      </c>
    </row>
    <row r="322" spans="1:21" ht="13.8" x14ac:dyDescent="0.3">
      <c r="A322" s="530" t="str">
        <f t="shared" si="8"/>
        <v>Conwy.2017.Population.Total</v>
      </c>
      <c r="B322" s="530" t="s">
        <v>219</v>
      </c>
      <c r="C322" s="530" t="str">
        <f t="shared" si="9"/>
        <v>2017.Population.Total</v>
      </c>
      <c r="D322" s="530" t="s">
        <v>236</v>
      </c>
      <c r="E322" s="530" t="s">
        <v>19</v>
      </c>
      <c r="F322" s="530" t="s">
        <v>54</v>
      </c>
      <c r="G322" s="530" t="s">
        <v>54</v>
      </c>
      <c r="H322" s="530">
        <v>116538</v>
      </c>
      <c r="I322" s="530">
        <v>116538</v>
      </c>
      <c r="J322" s="530">
        <v>116538</v>
      </c>
      <c r="K322" s="530">
        <v>116538</v>
      </c>
      <c r="L322" s="530">
        <v>116538</v>
      </c>
      <c r="M322" s="530">
        <v>116538</v>
      </c>
      <c r="N322" s="530">
        <v>116538</v>
      </c>
      <c r="O322" s="530">
        <v>116538</v>
      </c>
      <c r="P322" s="530">
        <v>116538</v>
      </c>
      <c r="Q322" s="530">
        <v>116538</v>
      </c>
      <c r="R322" s="530">
        <v>116538</v>
      </c>
      <c r="S322" s="530">
        <v>116538</v>
      </c>
      <c r="T322" s="530">
        <v>116538</v>
      </c>
      <c r="U322" s="530" t="s">
        <v>60</v>
      </c>
    </row>
    <row r="323" spans="1:21" ht="13.8" x14ac:dyDescent="0.3">
      <c r="A323" s="530" t="str">
        <f t="shared" si="8"/>
        <v>Conwy.2017.Employment.Serviced Accommodation</v>
      </c>
      <c r="B323" s="530" t="s">
        <v>219</v>
      </c>
      <c r="C323" s="530" t="str">
        <f t="shared" si="9"/>
        <v>2017.Employment.Serviced Accommodation</v>
      </c>
      <c r="D323" s="530" t="s">
        <v>236</v>
      </c>
      <c r="E323" s="530" t="s">
        <v>20</v>
      </c>
      <c r="F323" s="530" t="s">
        <v>43</v>
      </c>
      <c r="G323" s="530" t="s">
        <v>43</v>
      </c>
      <c r="H323" s="530">
        <v>2072.0562461630952</v>
      </c>
      <c r="I323" s="530">
        <v>2361.8707498512977</v>
      </c>
      <c r="J323" s="530">
        <v>2391.2738587141512</v>
      </c>
      <c r="K323" s="530">
        <v>2635.7184339024798</v>
      </c>
      <c r="L323" s="530">
        <v>2833.0297381358168</v>
      </c>
      <c r="M323" s="530">
        <v>2650.6389874120023</v>
      </c>
      <c r="N323" s="530">
        <v>2693.5499252965092</v>
      </c>
      <c r="O323" s="530">
        <v>2807.4574567634049</v>
      </c>
      <c r="P323" s="530">
        <v>2612.0291351050118</v>
      </c>
      <c r="Q323" s="530">
        <v>2405.3125997516408</v>
      </c>
      <c r="R323" s="530">
        <v>2463.0002129157865</v>
      </c>
      <c r="S323" s="530">
        <v>2186.4874611805963</v>
      </c>
      <c r="T323" s="530">
        <v>2509.3687337659826</v>
      </c>
      <c r="U323" s="530" t="s">
        <v>59</v>
      </c>
    </row>
    <row r="324" spans="1:21" ht="13.8" x14ac:dyDescent="0.3">
      <c r="A324" s="530" t="str">
        <f t="shared" si="8"/>
        <v>Conwy.2017.Employment.Non-Serviced Accommodation</v>
      </c>
      <c r="B324" s="530" t="s">
        <v>219</v>
      </c>
      <c r="C324" s="530" t="str">
        <f t="shared" si="9"/>
        <v>2017.Employment.Non-Serviced Accommodation</v>
      </c>
      <c r="D324" s="530" t="s">
        <v>236</v>
      </c>
      <c r="E324" s="530" t="s">
        <v>20</v>
      </c>
      <c r="F324" s="530" t="s">
        <v>48</v>
      </c>
      <c r="G324" s="530" t="s">
        <v>48</v>
      </c>
      <c r="H324" s="530">
        <v>1364.8167974469141</v>
      </c>
      <c r="I324" s="530">
        <v>1444.0677247280805</v>
      </c>
      <c r="J324" s="530">
        <v>3891.3661786326907</v>
      </c>
      <c r="K324" s="530">
        <v>5274.7340143258507</v>
      </c>
      <c r="L324" s="530">
        <v>5041.2579221816695</v>
      </c>
      <c r="M324" s="530">
        <v>5652.4164056293002</v>
      </c>
      <c r="N324" s="530">
        <v>6610.0582234474132</v>
      </c>
      <c r="O324" s="530">
        <v>6995.8553586145217</v>
      </c>
      <c r="P324" s="530">
        <v>4897.1405270891864</v>
      </c>
      <c r="Q324" s="530">
        <v>4700.577973549629</v>
      </c>
      <c r="R324" s="530">
        <v>2397.418487750429</v>
      </c>
      <c r="S324" s="530">
        <v>1468.4559543594223</v>
      </c>
      <c r="T324" s="530">
        <v>4144.8471306462588</v>
      </c>
      <c r="U324" s="530" t="s">
        <v>59</v>
      </c>
    </row>
    <row r="325" spans="1:21" ht="13.8" x14ac:dyDescent="0.3">
      <c r="A325" s="530" t="str">
        <f t="shared" si="8"/>
        <v>Conwy.2017.Employment.SFR</v>
      </c>
      <c r="B325" s="530" t="s">
        <v>219</v>
      </c>
      <c r="C325" s="530" t="str">
        <f t="shared" si="9"/>
        <v>2017.Employment.SFR</v>
      </c>
      <c r="D325" s="530" t="s">
        <v>236</v>
      </c>
      <c r="E325" s="530" t="s">
        <v>20</v>
      </c>
      <c r="F325" s="530" t="s">
        <v>18</v>
      </c>
      <c r="G325" s="530" t="s">
        <v>18</v>
      </c>
      <c r="H325" s="530">
        <v>238.13705705126401</v>
      </c>
      <c r="I325" s="530">
        <v>80.0140511692247</v>
      </c>
      <c r="J325" s="530">
        <v>91.021275139594266</v>
      </c>
      <c r="K325" s="530">
        <v>217.18099603075279</v>
      </c>
      <c r="L325" s="530">
        <v>139.7070734700749</v>
      </c>
      <c r="M325" s="530">
        <v>107.61889882260724</v>
      </c>
      <c r="N325" s="530">
        <v>174.63384183759359</v>
      </c>
      <c r="O325" s="530">
        <v>184.86632658235638</v>
      </c>
      <c r="P325" s="530">
        <v>95.221166116442362</v>
      </c>
      <c r="Q325" s="530">
        <v>95.12781639007828</v>
      </c>
      <c r="R325" s="530">
        <v>74.124127958156762</v>
      </c>
      <c r="S325" s="530">
        <v>214.64086742220599</v>
      </c>
      <c r="T325" s="530">
        <v>142.69112483252925</v>
      </c>
      <c r="U325" s="530" t="s">
        <v>59</v>
      </c>
    </row>
    <row r="326" spans="1:21" ht="13.8" x14ac:dyDescent="0.3">
      <c r="A326" s="530" t="str">
        <f t="shared" si="8"/>
        <v>Conwy.2017.Employment.Day Visitor</v>
      </c>
      <c r="B326" s="530" t="s">
        <v>219</v>
      </c>
      <c r="C326" s="530" t="str">
        <f t="shared" si="9"/>
        <v>2017.Employment.Day Visitor</v>
      </c>
      <c r="D326" s="530" t="s">
        <v>236</v>
      </c>
      <c r="E326" s="530" t="s">
        <v>20</v>
      </c>
      <c r="F326" s="530" t="s">
        <v>71</v>
      </c>
      <c r="G326" s="530" t="s">
        <v>71</v>
      </c>
      <c r="H326" s="530">
        <v>309.05949167734735</v>
      </c>
      <c r="I326" s="530">
        <v>1524.9022988566098</v>
      </c>
      <c r="J326" s="530">
        <v>1226.8800341584945</v>
      </c>
      <c r="K326" s="530">
        <v>4330.4695848510246</v>
      </c>
      <c r="L326" s="530">
        <v>4218.4983327406562</v>
      </c>
      <c r="M326" s="530">
        <v>3700.9141376783546</v>
      </c>
      <c r="N326" s="530">
        <v>5761.9993081695538</v>
      </c>
      <c r="O326" s="530">
        <v>7206.4265599742112</v>
      </c>
      <c r="P326" s="530">
        <v>3916.3404709044594</v>
      </c>
      <c r="Q326" s="530">
        <v>1788.5777752418144</v>
      </c>
      <c r="R326" s="530">
        <v>671.81664906700757</v>
      </c>
      <c r="S326" s="530">
        <v>218.27182462249763</v>
      </c>
      <c r="T326" s="530">
        <v>2906.1797056618357</v>
      </c>
      <c r="U326" s="530" t="s">
        <v>59</v>
      </c>
    </row>
    <row r="327" spans="1:21" ht="13.8" x14ac:dyDescent="0.3">
      <c r="A327" s="530" t="str">
        <f t="shared" si="8"/>
        <v>Conwy.2017.Employment.Direct Employment</v>
      </c>
      <c r="B327" s="530" t="s">
        <v>219</v>
      </c>
      <c r="C327" s="530" t="str">
        <f t="shared" si="9"/>
        <v>2017.Employment.Direct Employment</v>
      </c>
      <c r="D327" s="530" t="s">
        <v>236</v>
      </c>
      <c r="E327" s="530" t="s">
        <v>20</v>
      </c>
      <c r="F327" s="530" t="s">
        <v>55</v>
      </c>
      <c r="G327" s="530" t="s">
        <v>55</v>
      </c>
      <c r="H327" s="530">
        <v>3984.0695923386211</v>
      </c>
      <c r="I327" s="530">
        <v>5410.8548246052123</v>
      </c>
      <c r="J327" s="530">
        <v>7600.5413466449309</v>
      </c>
      <c r="K327" s="530">
        <v>12458.103029110109</v>
      </c>
      <c r="L327" s="530">
        <v>12232.493066528217</v>
      </c>
      <c r="M327" s="530">
        <v>12111.588429542266</v>
      </c>
      <c r="N327" s="530">
        <v>15240.241298751071</v>
      </c>
      <c r="O327" s="530">
        <v>17194.605701934495</v>
      </c>
      <c r="P327" s="530">
        <v>11520.7312992151</v>
      </c>
      <c r="Q327" s="530">
        <v>8989.5961649331621</v>
      </c>
      <c r="R327" s="530">
        <v>5606.3594776913797</v>
      </c>
      <c r="S327" s="530">
        <v>4087.8561075847224</v>
      </c>
      <c r="T327" s="530">
        <v>9703.0866949066058</v>
      </c>
      <c r="U327" s="530" t="s">
        <v>59</v>
      </c>
    </row>
    <row r="328" spans="1:21" ht="13.8" x14ac:dyDescent="0.3">
      <c r="A328" s="530" t="str">
        <f t="shared" si="8"/>
        <v>Conwy.2017.Employment.Indirect Employment</v>
      </c>
      <c r="B328" s="530" t="s">
        <v>219</v>
      </c>
      <c r="C328" s="530" t="str">
        <f t="shared" si="9"/>
        <v>2017.Employment.Indirect Employment</v>
      </c>
      <c r="D328" s="530" t="s">
        <v>236</v>
      </c>
      <c r="E328" s="530" t="s">
        <v>20</v>
      </c>
      <c r="F328" s="530" t="s">
        <v>53</v>
      </c>
      <c r="G328" s="530" t="s">
        <v>53</v>
      </c>
      <c r="H328" s="530">
        <v>585.4974256551701</v>
      </c>
      <c r="I328" s="530">
        <v>1011.9457051636864</v>
      </c>
      <c r="J328" s="530">
        <v>1576.6867865152301</v>
      </c>
      <c r="K328" s="530">
        <v>3070.7653410735734</v>
      </c>
      <c r="L328" s="530">
        <v>3013.3584957882263</v>
      </c>
      <c r="M328" s="530">
        <v>2990.6970887584484</v>
      </c>
      <c r="N328" s="530">
        <v>4214.7393294647509</v>
      </c>
      <c r="O328" s="530">
        <v>4706.7041160792123</v>
      </c>
      <c r="P328" s="530">
        <v>3086.985578877011</v>
      </c>
      <c r="Q328" s="530">
        <v>2012.1818829252447</v>
      </c>
      <c r="R328" s="530">
        <v>1025.0822622218498</v>
      </c>
      <c r="S328" s="530">
        <v>599.07740553253984</v>
      </c>
      <c r="T328" s="530">
        <v>2324.476784837912</v>
      </c>
      <c r="U328" s="530" t="s">
        <v>59</v>
      </c>
    </row>
    <row r="329" spans="1:21" ht="13.8" x14ac:dyDescent="0.3">
      <c r="A329" s="530" t="str">
        <f t="shared" ref="A329:A392" si="10">B329&amp;"."&amp;D329&amp;"."&amp;E329&amp;"."&amp;F329</f>
        <v>Conwy.2017.Employment.Total</v>
      </c>
      <c r="B329" s="530" t="s">
        <v>219</v>
      </c>
      <c r="C329" s="530" t="str">
        <f t="shared" ref="C329:C392" si="11">D329&amp;"."&amp;E329&amp;"."&amp;F329</f>
        <v>2017.Employment.Total</v>
      </c>
      <c r="D329" s="530" t="s">
        <v>236</v>
      </c>
      <c r="E329" s="530" t="s">
        <v>20</v>
      </c>
      <c r="F329" s="530" t="s">
        <v>54</v>
      </c>
      <c r="G329" s="530" t="s">
        <v>54</v>
      </c>
      <c r="H329" s="530">
        <v>4569.5670179937915</v>
      </c>
      <c r="I329" s="530">
        <v>6422.8005297688987</v>
      </c>
      <c r="J329" s="530">
        <v>9177.2281331601607</v>
      </c>
      <c r="K329" s="530">
        <v>15528.868370183682</v>
      </c>
      <c r="L329" s="530">
        <v>15245.851562316444</v>
      </c>
      <c r="M329" s="530">
        <v>15102.285518300714</v>
      </c>
      <c r="N329" s="530">
        <v>19454.980628215821</v>
      </c>
      <c r="O329" s="530">
        <v>21901.309818013709</v>
      </c>
      <c r="P329" s="530">
        <v>14607.716878092111</v>
      </c>
      <c r="Q329" s="530">
        <v>11001.778047858406</v>
      </c>
      <c r="R329" s="530">
        <v>6631.441739913229</v>
      </c>
      <c r="S329" s="530">
        <v>4686.933513117262</v>
      </c>
      <c r="T329" s="530">
        <v>12027.563479744518</v>
      </c>
      <c r="U329" s="530" t="s">
        <v>59</v>
      </c>
    </row>
    <row r="330" spans="1:21" ht="13.8" x14ac:dyDescent="0.3">
      <c r="A330" s="530" t="str">
        <f t="shared" si="10"/>
        <v>Conwy.2017.Employment.Accommodation</v>
      </c>
      <c r="B330" s="530" t="s">
        <v>219</v>
      </c>
      <c r="C330" s="530" t="str">
        <f t="shared" si="11"/>
        <v>2017.Employment.Accommodation</v>
      </c>
      <c r="D330" s="530" t="s">
        <v>236</v>
      </c>
      <c r="E330" s="530" t="s">
        <v>20</v>
      </c>
      <c r="F330" s="530" t="s">
        <v>23</v>
      </c>
      <c r="G330" s="530" t="s">
        <v>23</v>
      </c>
      <c r="H330" s="530">
        <v>2645.12</v>
      </c>
      <c r="I330" s="530">
        <v>2821.2201502769958</v>
      </c>
      <c r="J330" s="530">
        <v>3177.6</v>
      </c>
      <c r="K330" s="530">
        <v>3310.2079921979785</v>
      </c>
      <c r="L330" s="530">
        <v>3320.2114821878931</v>
      </c>
      <c r="M330" s="530">
        <v>3295.1408082323942</v>
      </c>
      <c r="N330" s="530">
        <v>3281.3</v>
      </c>
      <c r="O330" s="530">
        <v>3859.6543560665341</v>
      </c>
      <c r="P330" s="530">
        <v>3281.668303709539</v>
      </c>
      <c r="Q330" s="530">
        <v>3252.38</v>
      </c>
      <c r="R330" s="530">
        <v>3003.5599999999995</v>
      </c>
      <c r="S330" s="530">
        <v>2779.84</v>
      </c>
      <c r="T330" s="530">
        <v>3168.9919243892778</v>
      </c>
      <c r="U330" s="530" t="s">
        <v>59</v>
      </c>
    </row>
    <row r="331" spans="1:21" ht="13.8" x14ac:dyDescent="0.3">
      <c r="A331" s="530" t="str">
        <f t="shared" si="10"/>
        <v>Conwy.2017.Employment.Food &amp; Drink</v>
      </c>
      <c r="B331" s="530" t="s">
        <v>219</v>
      </c>
      <c r="C331" s="530" t="str">
        <f t="shared" si="11"/>
        <v>2017.Employment.Food &amp; Drink</v>
      </c>
      <c r="D331" s="530" t="s">
        <v>236</v>
      </c>
      <c r="E331" s="530" t="s">
        <v>20</v>
      </c>
      <c r="F331" s="530" t="s">
        <v>49</v>
      </c>
      <c r="G331" s="530" t="s">
        <v>49</v>
      </c>
      <c r="H331" s="530">
        <v>522.90370458771008</v>
      </c>
      <c r="I331" s="530">
        <v>887.47872179054355</v>
      </c>
      <c r="J331" s="530">
        <v>1765.6588170157761</v>
      </c>
      <c r="K331" s="530">
        <v>3389.1410395994567</v>
      </c>
      <c r="L331" s="530">
        <v>3371.5937236081386</v>
      </c>
      <c r="M331" s="530">
        <v>3344.582021711356</v>
      </c>
      <c r="N331" s="530">
        <v>4491.2638836955603</v>
      </c>
      <c r="O331" s="530">
        <v>4924.2950171224265</v>
      </c>
      <c r="P331" s="530">
        <v>3121.3024876550367</v>
      </c>
      <c r="Q331" s="530">
        <v>2299.6560296980156</v>
      </c>
      <c r="R331" s="530">
        <v>1057.7312887516525</v>
      </c>
      <c r="S331" s="530">
        <v>527.95709088278443</v>
      </c>
      <c r="T331" s="530">
        <v>2475.2969855098713</v>
      </c>
      <c r="U331" s="530" t="s">
        <v>59</v>
      </c>
    </row>
    <row r="332" spans="1:21" ht="13.8" x14ac:dyDescent="0.3">
      <c r="A332" s="530" t="str">
        <f t="shared" si="10"/>
        <v>Conwy.2017.Employment.Recreation</v>
      </c>
      <c r="B332" s="530" t="s">
        <v>219</v>
      </c>
      <c r="C332" s="530" t="str">
        <f t="shared" si="11"/>
        <v>2017.Employment.Recreation</v>
      </c>
      <c r="D332" s="530" t="s">
        <v>236</v>
      </c>
      <c r="E332" s="530" t="s">
        <v>20</v>
      </c>
      <c r="F332" s="530" t="s">
        <v>50</v>
      </c>
      <c r="G332" s="530" t="s">
        <v>50</v>
      </c>
      <c r="H332" s="530">
        <v>157.14414664768898</v>
      </c>
      <c r="I332" s="530">
        <v>269.21066501057066</v>
      </c>
      <c r="J332" s="530">
        <v>575.69174118331216</v>
      </c>
      <c r="K332" s="530">
        <v>1088.2047200828847</v>
      </c>
      <c r="L332" s="530">
        <v>991.45801203071505</v>
      </c>
      <c r="M332" s="530">
        <v>1068.9521605262844</v>
      </c>
      <c r="N332" s="530">
        <v>1344.0133228052866</v>
      </c>
      <c r="O332" s="530">
        <v>1401.8661619689974</v>
      </c>
      <c r="P332" s="530">
        <v>903.47056949801402</v>
      </c>
      <c r="Q332" s="530">
        <v>696.91041242367555</v>
      </c>
      <c r="R332" s="530">
        <v>308.24291484938442</v>
      </c>
      <c r="S332" s="530">
        <v>163.2860124636602</v>
      </c>
      <c r="T332" s="530">
        <v>747.37090329087289</v>
      </c>
      <c r="U332" s="530" t="s">
        <v>59</v>
      </c>
    </row>
    <row r="333" spans="1:21" ht="13.8" x14ac:dyDescent="0.3">
      <c r="A333" s="530" t="str">
        <f t="shared" si="10"/>
        <v>Conwy.2017.Employment.Shopping</v>
      </c>
      <c r="B333" s="530" t="s">
        <v>219</v>
      </c>
      <c r="C333" s="530" t="str">
        <f t="shared" si="11"/>
        <v>2017.Employment.Shopping</v>
      </c>
      <c r="D333" s="530" t="s">
        <v>236</v>
      </c>
      <c r="E333" s="530" t="s">
        <v>20</v>
      </c>
      <c r="F333" s="530" t="s">
        <v>51</v>
      </c>
      <c r="G333" s="530" t="s">
        <v>51</v>
      </c>
      <c r="H333" s="530">
        <v>573.15089009325231</v>
      </c>
      <c r="I333" s="530">
        <v>1268.7847811960894</v>
      </c>
      <c r="J333" s="530">
        <v>1782.6835470841099</v>
      </c>
      <c r="K333" s="530">
        <v>4068.4734378201074</v>
      </c>
      <c r="L333" s="530">
        <v>3969.5016901150334</v>
      </c>
      <c r="M333" s="530">
        <v>3816.7284882493304</v>
      </c>
      <c r="N333" s="530">
        <v>5342.0802326133207</v>
      </c>
      <c r="O333" s="530">
        <v>6152.5171664342461</v>
      </c>
      <c r="P333" s="530">
        <v>3681.0373546580922</v>
      </c>
      <c r="Q333" s="530">
        <v>2359.7350015117186</v>
      </c>
      <c r="R333" s="530">
        <v>1063.1775259990625</v>
      </c>
      <c r="S333" s="530">
        <v>531.31168001165099</v>
      </c>
      <c r="T333" s="530">
        <v>2884.0984829821668</v>
      </c>
      <c r="U333" s="530" t="s">
        <v>59</v>
      </c>
    </row>
    <row r="334" spans="1:21" ht="13.8" x14ac:dyDescent="0.3">
      <c r="A334" s="530" t="str">
        <f t="shared" si="10"/>
        <v>Conwy.2017.Employment.Transport</v>
      </c>
      <c r="B334" s="530" t="s">
        <v>219</v>
      </c>
      <c r="C334" s="530" t="str">
        <f t="shared" si="11"/>
        <v>2017.Employment.Transport</v>
      </c>
      <c r="D334" s="530" t="s">
        <v>236</v>
      </c>
      <c r="E334" s="530" t="s">
        <v>20</v>
      </c>
      <c r="F334" s="530" t="s">
        <v>52</v>
      </c>
      <c r="G334" s="530" t="s">
        <v>52</v>
      </c>
      <c r="H334" s="530">
        <v>85.750851009969438</v>
      </c>
      <c r="I334" s="530">
        <v>164.16050633101372</v>
      </c>
      <c r="J334" s="530">
        <v>298.90724136173236</v>
      </c>
      <c r="K334" s="530">
        <v>602.07583940968107</v>
      </c>
      <c r="L334" s="530">
        <v>579.72815858643821</v>
      </c>
      <c r="M334" s="530">
        <v>586.18495082290019</v>
      </c>
      <c r="N334" s="530">
        <v>781.58385963690387</v>
      </c>
      <c r="O334" s="530">
        <v>856.27300034229143</v>
      </c>
      <c r="P334" s="530">
        <v>533.25258369441838</v>
      </c>
      <c r="Q334" s="530">
        <v>380.91472129975187</v>
      </c>
      <c r="R334" s="530">
        <v>173.64774809128039</v>
      </c>
      <c r="S334" s="530">
        <v>85.461324226626402</v>
      </c>
      <c r="T334" s="530">
        <v>427.32839873441725</v>
      </c>
      <c r="U334" s="530" t="s">
        <v>59</v>
      </c>
    </row>
    <row r="335" spans="1:21" ht="13.8" x14ac:dyDescent="0.3">
      <c r="A335" s="530" t="str">
        <f t="shared" si="10"/>
        <v>Conwy.2017.Visitor Days.Serviced Accommodation</v>
      </c>
      <c r="B335" s="530" t="s">
        <v>219</v>
      </c>
      <c r="C335" s="530" t="str">
        <f t="shared" si="11"/>
        <v>2017.Visitor Days.Serviced Accommodation</v>
      </c>
      <c r="D335" s="530" t="s">
        <v>236</v>
      </c>
      <c r="E335" s="530" t="s">
        <v>171</v>
      </c>
      <c r="F335" s="530" t="s">
        <v>43</v>
      </c>
      <c r="G335" s="530" t="s">
        <v>43</v>
      </c>
      <c r="H335" s="530">
        <v>113.52730726695192</v>
      </c>
      <c r="I335" s="530">
        <v>143.55471711275348</v>
      </c>
      <c r="J335" s="530">
        <v>122.68337106835602</v>
      </c>
      <c r="K335" s="530">
        <v>160.37902323728761</v>
      </c>
      <c r="L335" s="530">
        <v>197.90514547751016</v>
      </c>
      <c r="M335" s="530">
        <v>163.09546868808707</v>
      </c>
      <c r="N335" s="530">
        <v>167.66319378325048</v>
      </c>
      <c r="O335" s="530">
        <v>192.57911664528632</v>
      </c>
      <c r="P335" s="530">
        <v>154.65929040422483</v>
      </c>
      <c r="Q335" s="530">
        <v>115.53562646841118</v>
      </c>
      <c r="R335" s="530">
        <v>144.51101648491857</v>
      </c>
      <c r="S335" s="530">
        <v>111.00517137881819</v>
      </c>
      <c r="T335" s="530">
        <v>1787.0984480158559</v>
      </c>
      <c r="U335" s="530" t="s">
        <v>61</v>
      </c>
    </row>
    <row r="336" spans="1:21" ht="13.8" x14ac:dyDescent="0.3">
      <c r="A336" s="530" t="str">
        <f t="shared" si="10"/>
        <v>Conwy.2017.Visitor Days.Non-Serviced Accommodation</v>
      </c>
      <c r="B336" s="530" t="s">
        <v>219</v>
      </c>
      <c r="C336" s="530" t="str">
        <f t="shared" si="11"/>
        <v>2017.Visitor Days.Non-Serviced Accommodation</v>
      </c>
      <c r="D336" s="530" t="s">
        <v>236</v>
      </c>
      <c r="E336" s="530" t="s">
        <v>171</v>
      </c>
      <c r="F336" s="530" t="s">
        <v>48</v>
      </c>
      <c r="G336" s="530" t="s">
        <v>48</v>
      </c>
      <c r="H336" s="530">
        <v>64.106424757832329</v>
      </c>
      <c r="I336" s="530">
        <v>79.822606935869572</v>
      </c>
      <c r="J336" s="530">
        <v>634.34514767731412</v>
      </c>
      <c r="K336" s="530">
        <v>941.25112605814797</v>
      </c>
      <c r="L336" s="530">
        <v>936.76652725845429</v>
      </c>
      <c r="M336" s="530">
        <v>1041.7345999755553</v>
      </c>
      <c r="N336" s="530">
        <v>1306.5889546373396</v>
      </c>
      <c r="O336" s="530">
        <v>1295.4702136047526</v>
      </c>
      <c r="P336" s="530">
        <v>906.12930689337406</v>
      </c>
      <c r="Q336" s="530">
        <v>848.66917627301143</v>
      </c>
      <c r="R336" s="530">
        <v>308.82709322352861</v>
      </c>
      <c r="S336" s="530">
        <v>89.787146630135112</v>
      </c>
      <c r="T336" s="530">
        <v>8453.4983239253143</v>
      </c>
      <c r="U336" s="530" t="s">
        <v>61</v>
      </c>
    </row>
    <row r="337" spans="1:21" ht="13.8" x14ac:dyDescent="0.3">
      <c r="A337" s="530" t="str">
        <f t="shared" si="10"/>
        <v>Conwy.2017.Visitor Days.SFR</v>
      </c>
      <c r="B337" s="530" t="s">
        <v>219</v>
      </c>
      <c r="C337" s="530" t="str">
        <f t="shared" si="11"/>
        <v>2017.Visitor Days.SFR</v>
      </c>
      <c r="D337" s="530" t="s">
        <v>236</v>
      </c>
      <c r="E337" s="530" t="s">
        <v>171</v>
      </c>
      <c r="F337" s="530" t="s">
        <v>18</v>
      </c>
      <c r="G337" s="530" t="s">
        <v>18</v>
      </c>
      <c r="H337" s="530">
        <v>59.593295454545448</v>
      </c>
      <c r="I337" s="530">
        <v>20.023347272727271</v>
      </c>
      <c r="J337" s="530">
        <v>22.777881818181818</v>
      </c>
      <c r="K337" s="530">
        <v>54.349085454545452</v>
      </c>
      <c r="L337" s="530">
        <v>34.961400000000005</v>
      </c>
      <c r="M337" s="530">
        <v>26.931402081818181</v>
      </c>
      <c r="N337" s="530">
        <v>43.701749999999997</v>
      </c>
      <c r="O337" s="530">
        <v>46.262407690909093</v>
      </c>
      <c r="P337" s="530">
        <v>23.82889566272727</v>
      </c>
      <c r="Q337" s="530">
        <v>23.805535090909093</v>
      </c>
      <c r="R337" s="530">
        <v>18.549406431818177</v>
      </c>
      <c r="S337" s="530">
        <v>53.713423636363636</v>
      </c>
      <c r="T337" s="530">
        <v>428.49783059454541</v>
      </c>
      <c r="U337" s="530" t="s">
        <v>61</v>
      </c>
    </row>
    <row r="338" spans="1:21" ht="13.8" x14ac:dyDescent="0.3">
      <c r="A338" s="530" t="str">
        <f t="shared" si="10"/>
        <v>Conwy.2017.Visitor Days.Day Visitor</v>
      </c>
      <c r="B338" s="530" t="s">
        <v>219</v>
      </c>
      <c r="C338" s="530" t="str">
        <f t="shared" si="11"/>
        <v>2017.Visitor Days.Day Visitor</v>
      </c>
      <c r="D338" s="530" t="s">
        <v>236</v>
      </c>
      <c r="E338" s="530" t="s">
        <v>171</v>
      </c>
      <c r="F338" s="530" t="s">
        <v>71</v>
      </c>
      <c r="G338" s="530" t="s">
        <v>71</v>
      </c>
      <c r="H338" s="530">
        <v>60.273836607641933</v>
      </c>
      <c r="I338" s="530">
        <v>297.39164943639742</v>
      </c>
      <c r="J338" s="530">
        <v>239.27033049432586</v>
      </c>
      <c r="K338" s="530">
        <v>844.54295441658098</v>
      </c>
      <c r="L338" s="530">
        <v>822.70593877332999</v>
      </c>
      <c r="M338" s="530">
        <v>721.76490300520049</v>
      </c>
      <c r="N338" s="530">
        <v>1123.724765575329</v>
      </c>
      <c r="O338" s="530">
        <v>1405.4218967470506</v>
      </c>
      <c r="P338" s="530">
        <v>763.77808156633432</v>
      </c>
      <c r="Q338" s="530">
        <v>348.81454052713826</v>
      </c>
      <c r="R338" s="530">
        <v>131.01997520410171</v>
      </c>
      <c r="S338" s="530">
        <v>42.568116002348873</v>
      </c>
      <c r="T338" s="530">
        <v>6801.2769883557794</v>
      </c>
      <c r="U338" s="530" t="s">
        <v>61</v>
      </c>
    </row>
    <row r="339" spans="1:21" ht="13.8" x14ac:dyDescent="0.3">
      <c r="A339" s="530" t="str">
        <f t="shared" si="10"/>
        <v>Conwy.2017.Visitor Days.Total</v>
      </c>
      <c r="B339" s="530" t="s">
        <v>219</v>
      </c>
      <c r="C339" s="530" t="str">
        <f t="shared" si="11"/>
        <v>2017.Visitor Days.Total</v>
      </c>
      <c r="D339" s="530" t="s">
        <v>236</v>
      </c>
      <c r="E339" s="530" t="s">
        <v>171</v>
      </c>
      <c r="F339" s="530" t="s">
        <v>54</v>
      </c>
      <c r="G339" s="530" t="s">
        <v>54</v>
      </c>
      <c r="H339" s="530">
        <v>297.50086408697166</v>
      </c>
      <c r="I339" s="530">
        <v>540.7923207577478</v>
      </c>
      <c r="J339" s="530">
        <v>1019.0767310581779</v>
      </c>
      <c r="K339" s="530">
        <v>2000.5221891665619</v>
      </c>
      <c r="L339" s="530">
        <v>1992.3390115092943</v>
      </c>
      <c r="M339" s="530">
        <v>1953.5263737506609</v>
      </c>
      <c r="N339" s="530">
        <v>2641.6786639959191</v>
      </c>
      <c r="O339" s="530">
        <v>2939.7336346879988</v>
      </c>
      <c r="P339" s="530">
        <v>1848.3955745266605</v>
      </c>
      <c r="Q339" s="530">
        <v>1336.8248783594699</v>
      </c>
      <c r="R339" s="530">
        <v>602.90749134436703</v>
      </c>
      <c r="S339" s="530">
        <v>297.07385764766582</v>
      </c>
      <c r="T339" s="530">
        <v>17470.371590891493</v>
      </c>
      <c r="U339" s="530" t="s">
        <v>61</v>
      </c>
    </row>
    <row r="340" spans="1:21" ht="13.8" x14ac:dyDescent="0.3">
      <c r="A340" s="530" t="str">
        <f t="shared" si="10"/>
        <v>Conwy.2017.Visitor Numbers.Serviced Accommodation</v>
      </c>
      <c r="B340" s="530" t="s">
        <v>219</v>
      </c>
      <c r="C340" s="530" t="str">
        <f t="shared" si="11"/>
        <v>2017.Visitor Numbers.Serviced Accommodation</v>
      </c>
      <c r="D340" s="530" t="s">
        <v>236</v>
      </c>
      <c r="E340" s="530" t="s">
        <v>172</v>
      </c>
      <c r="F340" s="530" t="s">
        <v>43</v>
      </c>
      <c r="G340" s="530" t="s">
        <v>43</v>
      </c>
      <c r="H340" s="530">
        <v>74.573782872953615</v>
      </c>
      <c r="I340" s="530">
        <v>96.895316197093337</v>
      </c>
      <c r="J340" s="530">
        <v>59.368767924628422</v>
      </c>
      <c r="K340" s="530">
        <v>87.988485592237168</v>
      </c>
      <c r="L340" s="530">
        <v>104.81873117686185</v>
      </c>
      <c r="M340" s="530">
        <v>91.474610727628303</v>
      </c>
      <c r="N340" s="530">
        <v>94.719630719702536</v>
      </c>
      <c r="O340" s="530">
        <v>107.61709286085177</v>
      </c>
      <c r="P340" s="530">
        <v>78.001584324563225</v>
      </c>
      <c r="Q340" s="530">
        <v>67.076285074167956</v>
      </c>
      <c r="R340" s="530">
        <v>83.600872439012448</v>
      </c>
      <c r="S340" s="530">
        <v>67.938246404837514</v>
      </c>
      <c r="T340" s="530">
        <v>1014.0734063145381</v>
      </c>
      <c r="U340" s="530" t="s">
        <v>61</v>
      </c>
    </row>
    <row r="341" spans="1:21" ht="13.8" x14ac:dyDescent="0.3">
      <c r="A341" s="530" t="str">
        <f t="shared" si="10"/>
        <v>Conwy.2017.Visitor Numbers.Non-Serviced Accommodation</v>
      </c>
      <c r="B341" s="530" t="s">
        <v>219</v>
      </c>
      <c r="C341" s="530" t="str">
        <f t="shared" si="11"/>
        <v>2017.Visitor Numbers.Non-Serviced Accommodation</v>
      </c>
      <c r="D341" s="530" t="s">
        <v>236</v>
      </c>
      <c r="E341" s="530" t="s">
        <v>172</v>
      </c>
      <c r="F341" s="530" t="s">
        <v>48</v>
      </c>
      <c r="G341" s="530" t="s">
        <v>48</v>
      </c>
      <c r="H341" s="530">
        <v>18.854830811127158</v>
      </c>
      <c r="I341" s="530">
        <v>19.955651733967393</v>
      </c>
      <c r="J341" s="530">
        <v>132.15523909944045</v>
      </c>
      <c r="K341" s="530">
        <v>147.07048844658564</v>
      </c>
      <c r="L341" s="530">
        <v>135.76326482006584</v>
      </c>
      <c r="M341" s="530">
        <v>148.81922856793648</v>
      </c>
      <c r="N341" s="530">
        <v>184.02661332920277</v>
      </c>
      <c r="O341" s="530">
        <v>170.45660705325693</v>
      </c>
      <c r="P341" s="530">
        <v>131.32308795556145</v>
      </c>
      <c r="Q341" s="530">
        <v>121.23845375328735</v>
      </c>
      <c r="R341" s="530">
        <v>68.628242938561911</v>
      </c>
      <c r="S341" s="530">
        <v>16.033419041095556</v>
      </c>
      <c r="T341" s="530">
        <v>1294.3251275500891</v>
      </c>
      <c r="U341" s="530" t="s">
        <v>61</v>
      </c>
    </row>
    <row r="342" spans="1:21" ht="13.8" x14ac:dyDescent="0.3">
      <c r="A342" s="530" t="str">
        <f t="shared" si="10"/>
        <v>Conwy.2017.Visitor Numbers.SFR</v>
      </c>
      <c r="B342" s="530" t="s">
        <v>219</v>
      </c>
      <c r="C342" s="530" t="str">
        <f t="shared" si="11"/>
        <v>2017.Visitor Numbers.SFR</v>
      </c>
      <c r="D342" s="530" t="s">
        <v>236</v>
      </c>
      <c r="E342" s="530" t="s">
        <v>172</v>
      </c>
      <c r="F342" s="530" t="s">
        <v>18</v>
      </c>
      <c r="G342" s="530" t="s">
        <v>18</v>
      </c>
      <c r="H342" s="530">
        <v>23.83731818181818</v>
      </c>
      <c r="I342" s="530">
        <v>9.5349272727272716</v>
      </c>
      <c r="J342" s="530">
        <v>10.594363636363637</v>
      </c>
      <c r="K342" s="530">
        <v>20.129290909090908</v>
      </c>
      <c r="L342" s="530">
        <v>15.891545454545456</v>
      </c>
      <c r="M342" s="530">
        <v>12.824477181818182</v>
      </c>
      <c r="N342" s="530">
        <v>17.480699999999999</v>
      </c>
      <c r="O342" s="530">
        <v>17.793233727272728</v>
      </c>
      <c r="P342" s="530">
        <v>10.981057909090907</v>
      </c>
      <c r="Q342" s="530">
        <v>11.124081818181818</v>
      </c>
      <c r="R342" s="530">
        <v>9.1376386363636346</v>
      </c>
      <c r="S342" s="530">
        <v>20.659009090909091</v>
      </c>
      <c r="T342" s="530">
        <v>179.98764381818182</v>
      </c>
      <c r="U342" s="530" t="s">
        <v>61</v>
      </c>
    </row>
    <row r="343" spans="1:21" ht="13.8" x14ac:dyDescent="0.3">
      <c r="A343" s="530" t="str">
        <f t="shared" si="10"/>
        <v>Conwy.2017.Visitor Numbers.Day Visitor</v>
      </c>
      <c r="B343" s="530" t="s">
        <v>219</v>
      </c>
      <c r="C343" s="530" t="str">
        <f t="shared" si="11"/>
        <v>2017.Visitor Numbers.Day Visitor</v>
      </c>
      <c r="D343" s="530" t="s">
        <v>236</v>
      </c>
      <c r="E343" s="530" t="s">
        <v>172</v>
      </c>
      <c r="F343" s="530" t="s">
        <v>71</v>
      </c>
      <c r="G343" s="530" t="s">
        <v>71</v>
      </c>
      <c r="H343" s="530">
        <v>60.273836607641933</v>
      </c>
      <c r="I343" s="530">
        <v>297.39164943639742</v>
      </c>
      <c r="J343" s="530">
        <v>239.27033049432586</v>
      </c>
      <c r="K343" s="530">
        <v>844.54295441658098</v>
      </c>
      <c r="L343" s="530">
        <v>822.70593877332999</v>
      </c>
      <c r="M343" s="530">
        <v>721.76490300520049</v>
      </c>
      <c r="N343" s="530">
        <v>1123.724765575329</v>
      </c>
      <c r="O343" s="530">
        <v>1405.4218967470506</v>
      </c>
      <c r="P343" s="530">
        <v>763.77808156633432</v>
      </c>
      <c r="Q343" s="530">
        <v>348.81454052713826</v>
      </c>
      <c r="R343" s="530">
        <v>131.01997520410171</v>
      </c>
      <c r="S343" s="530">
        <v>42.568116002348873</v>
      </c>
      <c r="T343" s="530">
        <v>6801.2769883557794</v>
      </c>
      <c r="U343" s="530" t="s">
        <v>61</v>
      </c>
    </row>
    <row r="344" spans="1:21" ht="13.8" x14ac:dyDescent="0.3">
      <c r="A344" s="530" t="str">
        <f t="shared" si="10"/>
        <v>Conwy.2017.Visitor Numbers.Total</v>
      </c>
      <c r="B344" s="530" t="s">
        <v>219</v>
      </c>
      <c r="C344" s="530" t="str">
        <f t="shared" si="11"/>
        <v>2017.Visitor Numbers.Total</v>
      </c>
      <c r="D344" s="530" t="s">
        <v>236</v>
      </c>
      <c r="E344" s="530" t="s">
        <v>172</v>
      </c>
      <c r="F344" s="530" t="s">
        <v>54</v>
      </c>
      <c r="G344" s="530" t="s">
        <v>54</v>
      </c>
      <c r="H344" s="530">
        <v>177.53976847354087</v>
      </c>
      <c r="I344" s="530">
        <v>423.7775446401854</v>
      </c>
      <c r="J344" s="530">
        <v>441.38870115475834</v>
      </c>
      <c r="K344" s="530">
        <v>1099.7312193644948</v>
      </c>
      <c r="L344" s="530">
        <v>1079.1794802248032</v>
      </c>
      <c r="M344" s="530">
        <v>974.8832194825834</v>
      </c>
      <c r="N344" s="530">
        <v>1419.9517096242344</v>
      </c>
      <c r="O344" s="530">
        <v>1701.288830388432</v>
      </c>
      <c r="P344" s="530">
        <v>984.08381175554996</v>
      </c>
      <c r="Q344" s="530">
        <v>548.25336117277539</v>
      </c>
      <c r="R344" s="530">
        <v>292.3867292180397</v>
      </c>
      <c r="S344" s="530">
        <v>147.19879053919104</v>
      </c>
      <c r="T344" s="530">
        <v>9289.6631660385883</v>
      </c>
      <c r="U344" s="530" t="s">
        <v>61</v>
      </c>
    </row>
    <row r="345" spans="1:21" ht="13.8" x14ac:dyDescent="0.3">
      <c r="A345" s="530" t="str">
        <f t="shared" si="10"/>
        <v>Conwy.2017.Vehicle Days.Serviced Accommodation</v>
      </c>
      <c r="B345" s="530" t="s">
        <v>219</v>
      </c>
      <c r="C345" s="530" t="str">
        <f t="shared" si="11"/>
        <v>2017.Vehicle Days.Serviced Accommodation</v>
      </c>
      <c r="D345" s="530" t="s">
        <v>236</v>
      </c>
      <c r="E345" s="530" t="s">
        <v>21</v>
      </c>
      <c r="F345" s="530" t="s">
        <v>43</v>
      </c>
      <c r="G345" s="530" t="s">
        <v>43</v>
      </c>
      <c r="H345" s="530">
        <v>29.102283698078317</v>
      </c>
      <c r="I345" s="530">
        <v>48.776989173014613</v>
      </c>
      <c r="J345" s="530">
        <v>43.586413484706341</v>
      </c>
      <c r="K345" s="530">
        <v>41.604496189330852</v>
      </c>
      <c r="L345" s="530">
        <v>54.848200066297231</v>
      </c>
      <c r="M345" s="530">
        <v>45.172786916374946</v>
      </c>
      <c r="N345" s="530">
        <v>43.404218591734463</v>
      </c>
      <c r="O345" s="530">
        <v>49.918903280638133</v>
      </c>
      <c r="P345" s="530">
        <v>40.082378308981617</v>
      </c>
      <c r="Q345" s="530">
        <v>35.538667509014601</v>
      </c>
      <c r="R345" s="530">
        <v>45.391725714041442</v>
      </c>
      <c r="S345" s="530">
        <v>28.801288637786023</v>
      </c>
      <c r="T345" s="530">
        <v>506.22835156999855</v>
      </c>
      <c r="U345" s="530" t="s">
        <v>61</v>
      </c>
    </row>
    <row r="346" spans="1:21" ht="13.8" x14ac:dyDescent="0.3">
      <c r="A346" s="530" t="str">
        <f t="shared" si="10"/>
        <v>Conwy.2017.Vehicle Days.Non-Serviced Accommodation</v>
      </c>
      <c r="B346" s="530" t="s">
        <v>219</v>
      </c>
      <c r="C346" s="530" t="str">
        <f t="shared" si="11"/>
        <v>2017.Vehicle Days.Non-Serviced Accommodation</v>
      </c>
      <c r="D346" s="530" t="s">
        <v>236</v>
      </c>
      <c r="E346" s="530" t="s">
        <v>21</v>
      </c>
      <c r="F346" s="530" t="s">
        <v>48</v>
      </c>
      <c r="G346" s="530" t="s">
        <v>48</v>
      </c>
      <c r="H346" s="530">
        <v>17.849921325707591</v>
      </c>
      <c r="I346" s="530">
        <v>27.589501136507241</v>
      </c>
      <c r="J346" s="530">
        <v>165.6203162503395</v>
      </c>
      <c r="K346" s="530">
        <v>244.66697491558733</v>
      </c>
      <c r="L346" s="530">
        <v>239.69604038574104</v>
      </c>
      <c r="M346" s="530">
        <v>274.31290503499667</v>
      </c>
      <c r="N346" s="530">
        <v>332.17487601180397</v>
      </c>
      <c r="O346" s="530">
        <v>321.0133413359174</v>
      </c>
      <c r="P346" s="530">
        <v>231.69700242857994</v>
      </c>
      <c r="Q346" s="530">
        <v>214.85720643428598</v>
      </c>
      <c r="R346" s="530">
        <v>79.090470201002773</v>
      </c>
      <c r="S346" s="530">
        <v>20.402062278616043</v>
      </c>
      <c r="T346" s="530">
        <v>2168.9706177390858</v>
      </c>
      <c r="U346" s="530" t="s">
        <v>61</v>
      </c>
    </row>
    <row r="347" spans="1:21" ht="13.8" x14ac:dyDescent="0.3">
      <c r="A347" s="530" t="str">
        <f t="shared" si="10"/>
        <v>Conwy.2017.Vehicle Days.SFR</v>
      </c>
      <c r="B347" s="530" t="s">
        <v>219</v>
      </c>
      <c r="C347" s="530" t="str">
        <f t="shared" si="11"/>
        <v>2017.Vehicle Days.SFR</v>
      </c>
      <c r="D347" s="530" t="s">
        <v>236</v>
      </c>
      <c r="E347" s="530" t="s">
        <v>21</v>
      </c>
      <c r="F347" s="530" t="s">
        <v>18</v>
      </c>
      <c r="G347" s="530" t="s">
        <v>18</v>
      </c>
      <c r="H347" s="530">
        <v>18.672565909090906</v>
      </c>
      <c r="I347" s="530">
        <v>6.2739821454545446</v>
      </c>
      <c r="J347" s="530">
        <v>7.1370696363636359</v>
      </c>
      <c r="K347" s="530">
        <v>17.029380109090908</v>
      </c>
      <c r="L347" s="530">
        <v>10.954572000000001</v>
      </c>
      <c r="M347" s="530">
        <v>8.4385059856363629</v>
      </c>
      <c r="N347" s="530">
        <v>13.693214999999999</v>
      </c>
      <c r="O347" s="530">
        <v>14.495554409818181</v>
      </c>
      <c r="P347" s="530">
        <v>7.4663873076545446</v>
      </c>
      <c r="Q347" s="530">
        <v>7.4590676618181817</v>
      </c>
      <c r="R347" s="530">
        <v>5.812147348636362</v>
      </c>
      <c r="S347" s="530">
        <v>16.830206072727272</v>
      </c>
      <c r="T347" s="530">
        <v>134.2626535862909</v>
      </c>
      <c r="U347" s="530" t="s">
        <v>61</v>
      </c>
    </row>
    <row r="348" spans="1:21" ht="13.8" x14ac:dyDescent="0.3">
      <c r="A348" s="530" t="str">
        <f t="shared" si="10"/>
        <v>Conwy.2017.Vehicle Days.Day Visitor</v>
      </c>
      <c r="B348" s="530" t="s">
        <v>219</v>
      </c>
      <c r="C348" s="530" t="str">
        <f t="shared" si="11"/>
        <v>2017.Vehicle Days.Day Visitor</v>
      </c>
      <c r="D348" s="530" t="s">
        <v>236</v>
      </c>
      <c r="E348" s="530" t="s">
        <v>21</v>
      </c>
      <c r="F348" s="530" t="s">
        <v>71</v>
      </c>
      <c r="G348" s="530" t="s">
        <v>71</v>
      </c>
      <c r="H348" s="530">
        <v>13.260244053681225</v>
      </c>
      <c r="I348" s="530">
        <v>74.77275757257992</v>
      </c>
      <c r="J348" s="530">
        <v>60.159397381430509</v>
      </c>
      <c r="K348" s="530">
        <v>185.79944997164782</v>
      </c>
      <c r="L348" s="530">
        <v>180.99530653013261</v>
      </c>
      <c r="M348" s="530">
        <v>181.47231846987899</v>
      </c>
      <c r="N348" s="530">
        <v>247.21944842657237</v>
      </c>
      <c r="O348" s="530">
        <v>309.19281728435112</v>
      </c>
      <c r="P348" s="530">
        <v>168.03117794459357</v>
      </c>
      <c r="Q348" s="530">
        <v>87.701941618251908</v>
      </c>
      <c r="R348" s="530">
        <v>32.942165194174144</v>
      </c>
      <c r="S348" s="530">
        <v>9.3649855205167523</v>
      </c>
      <c r="T348" s="530">
        <v>1550.9120099678109</v>
      </c>
      <c r="U348" s="530" t="s">
        <v>61</v>
      </c>
    </row>
    <row r="349" spans="1:21" ht="13.8" x14ac:dyDescent="0.3">
      <c r="A349" s="530" t="str">
        <f t="shared" si="10"/>
        <v>Conwy.2017.Vehicle Days.Total</v>
      </c>
      <c r="B349" s="530" t="s">
        <v>219</v>
      </c>
      <c r="C349" s="530" t="str">
        <f t="shared" si="11"/>
        <v>2017.Vehicle Days.Total</v>
      </c>
      <c r="D349" s="530" t="s">
        <v>236</v>
      </c>
      <c r="E349" s="530" t="s">
        <v>21</v>
      </c>
      <c r="F349" s="530" t="s">
        <v>54</v>
      </c>
      <c r="G349" s="530" t="s">
        <v>54</v>
      </c>
      <c r="H349" s="530">
        <v>78.885014986558033</v>
      </c>
      <c r="I349" s="530">
        <v>157.41323002755632</v>
      </c>
      <c r="J349" s="530">
        <v>276.50319675283998</v>
      </c>
      <c r="K349" s="530">
        <v>489.10030118565692</v>
      </c>
      <c r="L349" s="530">
        <v>486.49411898217085</v>
      </c>
      <c r="M349" s="530">
        <v>509.39651640688697</v>
      </c>
      <c r="N349" s="530">
        <v>636.49175803011087</v>
      </c>
      <c r="O349" s="530">
        <v>694.62061631072481</v>
      </c>
      <c r="P349" s="530">
        <v>447.27694598980963</v>
      </c>
      <c r="Q349" s="530">
        <v>345.55688322337068</v>
      </c>
      <c r="R349" s="530">
        <v>163.23650845785474</v>
      </c>
      <c r="S349" s="530">
        <v>75.398542509646092</v>
      </c>
      <c r="T349" s="530">
        <v>4360.3736328631858</v>
      </c>
      <c r="U349" s="530" t="s">
        <v>61</v>
      </c>
    </row>
    <row r="350" spans="1:21" ht="13.8" x14ac:dyDescent="0.3">
      <c r="A350" s="530" t="str">
        <f t="shared" si="10"/>
        <v>Conwy.2017.Vehicle Numbers.Serviced Accommodation</v>
      </c>
      <c r="B350" s="530" t="s">
        <v>219</v>
      </c>
      <c r="C350" s="530" t="str">
        <f t="shared" si="11"/>
        <v>2017.Vehicle Numbers.Serviced Accommodation</v>
      </c>
      <c r="D350" s="530" t="s">
        <v>236</v>
      </c>
      <c r="E350" s="530" t="s">
        <v>22</v>
      </c>
      <c r="F350" s="530" t="s">
        <v>43</v>
      </c>
      <c r="G350" s="530" t="s">
        <v>43</v>
      </c>
      <c r="H350" s="530">
        <v>19.05043985627621</v>
      </c>
      <c r="I350" s="530">
        <v>32.911937123358683</v>
      </c>
      <c r="J350" s="530">
        <v>21.093717771694678</v>
      </c>
      <c r="K350" s="530">
        <v>22.824756336001712</v>
      </c>
      <c r="L350" s="530">
        <v>29.016490401509607</v>
      </c>
      <c r="M350" s="530">
        <v>25.328712523944759</v>
      </c>
      <c r="N350" s="530">
        <v>24.522541880505624</v>
      </c>
      <c r="O350" s="530">
        <v>27.90061938217077</v>
      </c>
      <c r="P350" s="530">
        <v>20.215893326328015</v>
      </c>
      <c r="Q350" s="530">
        <v>20.657872108988272</v>
      </c>
      <c r="R350" s="530">
        <v>25.89254115717204</v>
      </c>
      <c r="S350" s="530">
        <v>17.630579664865138</v>
      </c>
      <c r="T350" s="530">
        <v>287.0461015328155</v>
      </c>
      <c r="U350" s="530" t="s">
        <v>61</v>
      </c>
    </row>
    <row r="351" spans="1:21" ht="13.8" x14ac:dyDescent="0.3">
      <c r="A351" s="530" t="str">
        <f t="shared" si="10"/>
        <v>Conwy.2017.Vehicle Numbers.Non-Serviced Accommodation</v>
      </c>
      <c r="B351" s="530" t="s">
        <v>219</v>
      </c>
      <c r="C351" s="530" t="str">
        <f t="shared" si="11"/>
        <v>2017.Vehicle Numbers.Non-Serviced Accommodation</v>
      </c>
      <c r="D351" s="530" t="s">
        <v>236</v>
      </c>
      <c r="E351" s="530" t="s">
        <v>22</v>
      </c>
      <c r="F351" s="530" t="s">
        <v>48</v>
      </c>
      <c r="G351" s="530" t="s">
        <v>48</v>
      </c>
      <c r="H351" s="530">
        <v>5.249976860502235</v>
      </c>
      <c r="I351" s="530">
        <v>6.8973752841268103</v>
      </c>
      <c r="J351" s="530">
        <v>34.504232552154065</v>
      </c>
      <c r="K351" s="530">
        <v>38.229214830560508</v>
      </c>
      <c r="L351" s="530">
        <v>34.738556577643635</v>
      </c>
      <c r="M351" s="530">
        <v>39.187557862142377</v>
      </c>
      <c r="N351" s="530">
        <v>46.785193804479441</v>
      </c>
      <c r="O351" s="530">
        <v>42.238597544199656</v>
      </c>
      <c r="P351" s="530">
        <v>33.579275714286943</v>
      </c>
      <c r="Q351" s="530">
        <v>30.693886633469429</v>
      </c>
      <c r="R351" s="530">
        <v>17.575660044667284</v>
      </c>
      <c r="S351" s="530">
        <v>3.6432254068957222</v>
      </c>
      <c r="T351" s="530">
        <v>333.32275311512814</v>
      </c>
      <c r="U351" s="530" t="s">
        <v>61</v>
      </c>
    </row>
    <row r="352" spans="1:21" ht="13.8" x14ac:dyDescent="0.3">
      <c r="A352" s="530" t="str">
        <f t="shared" si="10"/>
        <v>Conwy.2017.Vehicle Numbers.SFR</v>
      </c>
      <c r="B352" s="530" t="s">
        <v>219</v>
      </c>
      <c r="C352" s="530" t="str">
        <f t="shared" si="11"/>
        <v>2017.Vehicle Numbers.SFR</v>
      </c>
      <c r="D352" s="530" t="s">
        <v>236</v>
      </c>
      <c r="E352" s="530" t="s">
        <v>22</v>
      </c>
      <c r="F352" s="530" t="s">
        <v>18</v>
      </c>
      <c r="G352" s="530" t="s">
        <v>18</v>
      </c>
      <c r="H352" s="530">
        <v>7.4690263636363623</v>
      </c>
      <c r="I352" s="530">
        <v>2.9876105454545447</v>
      </c>
      <c r="J352" s="530">
        <v>3.3195672727272725</v>
      </c>
      <c r="K352" s="530">
        <v>6.3071778181818177</v>
      </c>
      <c r="L352" s="530">
        <v>4.9793509090909094</v>
      </c>
      <c r="M352" s="530">
        <v>4.0183361836363636</v>
      </c>
      <c r="N352" s="530">
        <v>5.4772859999999994</v>
      </c>
      <c r="O352" s="530">
        <v>5.5752132345454548</v>
      </c>
      <c r="P352" s="530">
        <v>3.4407314781818172</v>
      </c>
      <c r="Q352" s="530">
        <v>3.4855456363636361</v>
      </c>
      <c r="R352" s="530">
        <v>2.8631267727272722</v>
      </c>
      <c r="S352" s="530">
        <v>6.4731561818181813</v>
      </c>
      <c r="T352" s="530">
        <v>56.396128396363636</v>
      </c>
      <c r="U352" s="530" t="s">
        <v>61</v>
      </c>
    </row>
    <row r="353" spans="1:21" ht="13.8" x14ac:dyDescent="0.3">
      <c r="A353" s="530" t="str">
        <f t="shared" si="10"/>
        <v>Conwy.2017.Vehicle Numbers.Day Visitor</v>
      </c>
      <c r="B353" s="530" t="s">
        <v>219</v>
      </c>
      <c r="C353" s="530" t="str">
        <f t="shared" si="11"/>
        <v>2017.Vehicle Numbers.Day Visitor</v>
      </c>
      <c r="D353" s="530" t="s">
        <v>236</v>
      </c>
      <c r="E353" s="530" t="s">
        <v>22</v>
      </c>
      <c r="F353" s="530" t="s">
        <v>71</v>
      </c>
      <c r="G353" s="530" t="s">
        <v>71</v>
      </c>
      <c r="H353" s="530">
        <v>13.260244053681225</v>
      </c>
      <c r="I353" s="530">
        <v>74.77275757257992</v>
      </c>
      <c r="J353" s="530">
        <v>60.159397381430509</v>
      </c>
      <c r="K353" s="530">
        <v>185.79944997164782</v>
      </c>
      <c r="L353" s="530">
        <v>180.99530653013261</v>
      </c>
      <c r="M353" s="530">
        <v>181.47231846987899</v>
      </c>
      <c r="N353" s="530">
        <v>247.21944842657237</v>
      </c>
      <c r="O353" s="530">
        <v>309.19281728435112</v>
      </c>
      <c r="P353" s="530">
        <v>168.03117794459357</v>
      </c>
      <c r="Q353" s="530">
        <v>87.701941618251908</v>
      </c>
      <c r="R353" s="530">
        <v>32.942165194174144</v>
      </c>
      <c r="S353" s="530">
        <v>9.3649855205167523</v>
      </c>
      <c r="T353" s="530">
        <v>1550.9120099678109</v>
      </c>
      <c r="U353" s="530" t="s">
        <v>61</v>
      </c>
    </row>
    <row r="354" spans="1:21" ht="13.8" x14ac:dyDescent="0.3">
      <c r="A354" s="530" t="str">
        <f t="shared" si="10"/>
        <v>Conwy.2017.Vehicle Numbers.Total</v>
      </c>
      <c r="B354" s="530" t="s">
        <v>219</v>
      </c>
      <c r="C354" s="530" t="str">
        <f t="shared" si="11"/>
        <v>2017.Vehicle Numbers.Total</v>
      </c>
      <c r="D354" s="530" t="s">
        <v>236</v>
      </c>
      <c r="E354" s="530" t="s">
        <v>22</v>
      </c>
      <c r="F354" s="530" t="s">
        <v>54</v>
      </c>
      <c r="G354" s="530" t="s">
        <v>54</v>
      </c>
      <c r="H354" s="530">
        <v>45.029687134096029</v>
      </c>
      <c r="I354" s="530">
        <v>117.56968052551996</v>
      </c>
      <c r="J354" s="530">
        <v>119.07691497800653</v>
      </c>
      <c r="K354" s="530">
        <v>253.16059895639185</v>
      </c>
      <c r="L354" s="530">
        <v>249.72970441837674</v>
      </c>
      <c r="M354" s="530">
        <v>250.00692503960249</v>
      </c>
      <c r="N354" s="530">
        <v>324.00447011155745</v>
      </c>
      <c r="O354" s="530">
        <v>384.90724744526699</v>
      </c>
      <c r="P354" s="530">
        <v>225.26707846339033</v>
      </c>
      <c r="Q354" s="530">
        <v>142.53924599707324</v>
      </c>
      <c r="R354" s="530">
        <v>79.273493168740742</v>
      </c>
      <c r="S354" s="530">
        <v>37.111946774095799</v>
      </c>
      <c r="T354" s="530">
        <v>2227.6769930121186</v>
      </c>
      <c r="U354" s="530" t="s">
        <v>61</v>
      </c>
    </row>
    <row r="355" spans="1:21" ht="13.8" x14ac:dyDescent="0.3">
      <c r="A355" s="530" t="str">
        <f t="shared" si="10"/>
        <v>Conwy.2017.Accommodation.Serviced Accommodation</v>
      </c>
      <c r="B355" s="530" t="s">
        <v>219</v>
      </c>
      <c r="C355" s="530" t="str">
        <f t="shared" si="11"/>
        <v>2017.Accommodation.Serviced Accommodation</v>
      </c>
      <c r="D355" s="530" t="s">
        <v>236</v>
      </c>
      <c r="E355" s="530" t="s">
        <v>23</v>
      </c>
      <c r="F355" s="530" t="s">
        <v>43</v>
      </c>
      <c r="G355" s="530" t="s">
        <v>43</v>
      </c>
      <c r="H355" s="530">
        <v>8007</v>
      </c>
      <c r="I355" s="530">
        <v>8724</v>
      </c>
      <c r="J355" s="530">
        <v>9432.7999999999993</v>
      </c>
      <c r="K355" s="530">
        <v>9770.4</v>
      </c>
      <c r="L355" s="530">
        <v>9774</v>
      </c>
      <c r="M355" s="530">
        <v>9776.4</v>
      </c>
      <c r="N355" s="530">
        <v>9776.4</v>
      </c>
      <c r="O355" s="530">
        <v>9776.4</v>
      </c>
      <c r="P355" s="530">
        <v>9775.2000000000007</v>
      </c>
      <c r="Q355" s="530">
        <v>9692.8000000000011</v>
      </c>
      <c r="R355" s="530">
        <v>9364.4</v>
      </c>
      <c r="S355" s="530">
        <v>8703.6</v>
      </c>
      <c r="T355" s="530">
        <v>9776.4</v>
      </c>
      <c r="U355" s="530" t="s">
        <v>58</v>
      </c>
    </row>
    <row r="356" spans="1:21" ht="13.8" x14ac:dyDescent="0.3">
      <c r="A356" s="530" t="str">
        <f t="shared" si="10"/>
        <v>Conwy.2017.Accommodation.Non-Serviced Accommodation</v>
      </c>
      <c r="B356" s="530" t="s">
        <v>219</v>
      </c>
      <c r="C356" s="530" t="str">
        <f t="shared" si="11"/>
        <v>2017.Accommodation.Non-Serviced Accommodation</v>
      </c>
      <c r="D356" s="530" t="s">
        <v>236</v>
      </c>
      <c r="E356" s="530" t="s">
        <v>23</v>
      </c>
      <c r="F356" s="530" t="s">
        <v>48</v>
      </c>
      <c r="G356" s="530" t="s">
        <v>48</v>
      </c>
      <c r="H356" s="530">
        <v>6122.0194492576784</v>
      </c>
      <c r="I356" s="530">
        <v>6318.0694731209642</v>
      </c>
      <c r="J356" s="530">
        <v>41241.730360380039</v>
      </c>
      <c r="K356" s="530">
        <v>47908.988570106572</v>
      </c>
      <c r="L356" s="530">
        <v>48081.175385040915</v>
      </c>
      <c r="M356" s="530">
        <v>48317.249000363983</v>
      </c>
      <c r="N356" s="530">
        <v>48356.691754000094</v>
      </c>
      <c r="O356" s="530">
        <v>48401.8875915436</v>
      </c>
      <c r="P356" s="530">
        <v>48519.643018150302</v>
      </c>
      <c r="Q356" s="530">
        <v>48318.851776772746</v>
      </c>
      <c r="R356" s="530">
        <v>28997.295207815809</v>
      </c>
      <c r="S356" s="530">
        <v>8733.7936002174993</v>
      </c>
      <c r="T356" s="530">
        <v>48519.643018150302</v>
      </c>
      <c r="U356" s="530" t="s">
        <v>58</v>
      </c>
    </row>
    <row r="357" spans="1:21" ht="13.8" x14ac:dyDescent="0.3">
      <c r="A357" s="530" t="str">
        <f t="shared" si="10"/>
        <v>Conwy.2017.Accommodation.Total</v>
      </c>
      <c r="B357" s="530" t="s">
        <v>219</v>
      </c>
      <c r="C357" s="530" t="str">
        <f t="shared" si="11"/>
        <v>2017.Accommodation.Total</v>
      </c>
      <c r="D357" s="530" t="s">
        <v>236</v>
      </c>
      <c r="E357" s="530" t="s">
        <v>23</v>
      </c>
      <c r="F357" s="530" t="s">
        <v>54</v>
      </c>
      <c r="G357" s="530" t="s">
        <v>54</v>
      </c>
      <c r="H357" s="530">
        <v>14129.019449257677</v>
      </c>
      <c r="I357" s="530">
        <v>15042.069473120964</v>
      </c>
      <c r="J357" s="530">
        <v>50674.530360380042</v>
      </c>
      <c r="K357" s="530">
        <v>57679.388570106574</v>
      </c>
      <c r="L357" s="530">
        <v>57855.175385040915</v>
      </c>
      <c r="M357" s="530">
        <v>58093.649000363985</v>
      </c>
      <c r="N357" s="530">
        <v>58133.091754000096</v>
      </c>
      <c r="O357" s="530">
        <v>58178.287591543602</v>
      </c>
      <c r="P357" s="530">
        <v>58294.843018150306</v>
      </c>
      <c r="Q357" s="530">
        <v>58011.651776772749</v>
      </c>
      <c r="R357" s="530">
        <v>38361.695207815806</v>
      </c>
      <c r="S357" s="530">
        <v>17437.3936002175</v>
      </c>
      <c r="T357" s="530">
        <v>58294.843018150306</v>
      </c>
      <c r="U357" s="530" t="s">
        <v>58</v>
      </c>
    </row>
    <row r="358" spans="1:21" ht="13.8" x14ac:dyDescent="0.3">
      <c r="A358" s="530" t="str">
        <f t="shared" si="10"/>
        <v>Conwy.2017.Economic Impact.Total</v>
      </c>
      <c r="B358" s="530" t="s">
        <v>219</v>
      </c>
      <c r="C358" s="530" t="str">
        <f t="shared" si="11"/>
        <v>2017.Economic Impact.Total</v>
      </c>
      <c r="D358" s="530" t="s">
        <v>236</v>
      </c>
      <c r="E358" s="530" t="s">
        <v>17</v>
      </c>
      <c r="F358" s="530" t="s">
        <v>54</v>
      </c>
      <c r="G358" s="530" t="s">
        <v>54</v>
      </c>
      <c r="H358" s="530">
        <v>19169.360140338125</v>
      </c>
      <c r="I358" s="530">
        <v>32407.311924190264</v>
      </c>
      <c r="J358" s="530">
        <v>49896.740839144215</v>
      </c>
      <c r="K358" s="530">
        <v>95770.029408753471</v>
      </c>
      <c r="L358" s="530">
        <v>94653.987001209709</v>
      </c>
      <c r="M358" s="530">
        <v>93235.128873629044</v>
      </c>
      <c r="N358" s="530">
        <v>130815.0511245557</v>
      </c>
      <c r="O358" s="530">
        <v>145903.84746541135</v>
      </c>
      <c r="P358" s="530">
        <v>96026.350916894429</v>
      </c>
      <c r="Q358" s="530">
        <v>62612.008389980139</v>
      </c>
      <c r="R358" s="530">
        <v>33140.943352560564</v>
      </c>
      <c r="S358" s="530">
        <v>19430.998592675667</v>
      </c>
      <c r="T358" s="530">
        <v>873061.75802934263</v>
      </c>
      <c r="U358" s="530" t="s">
        <v>57</v>
      </c>
    </row>
    <row r="359" spans="1:21" ht="13.8" x14ac:dyDescent="0.3">
      <c r="A359" s="530" t="str">
        <f t="shared" si="10"/>
        <v>Conwy.2018.Economic Impact.Indirect Expenditure</v>
      </c>
      <c r="B359" s="530" t="s">
        <v>219</v>
      </c>
      <c r="C359" s="530" t="str">
        <f t="shared" si="11"/>
        <v>2018.Economic Impact.Indirect Expenditure</v>
      </c>
      <c r="D359" s="530" t="s">
        <v>238</v>
      </c>
      <c r="E359" s="530" t="s">
        <v>17</v>
      </c>
      <c r="F359" s="530" t="s">
        <v>45</v>
      </c>
      <c r="G359" s="530" t="s">
        <v>45</v>
      </c>
      <c r="H359" s="530">
        <v>4446.25300433742</v>
      </c>
      <c r="I359" s="530">
        <v>8629.8879484377339</v>
      </c>
      <c r="J359" s="530">
        <v>13285.486753926882</v>
      </c>
      <c r="K359" s="530">
        <v>23116.719242385574</v>
      </c>
      <c r="L359" s="530">
        <v>26437.651293510018</v>
      </c>
      <c r="M359" s="530">
        <v>26465.675237515235</v>
      </c>
      <c r="N359" s="530">
        <v>34938.372851958979</v>
      </c>
      <c r="O359" s="530">
        <v>38247.333651646055</v>
      </c>
      <c r="P359" s="530">
        <v>26475.498099777611</v>
      </c>
      <c r="Q359" s="530">
        <v>17528.355773324591</v>
      </c>
      <c r="R359" s="530">
        <v>9138.0293526259502</v>
      </c>
      <c r="S359" s="530">
        <v>5443.308038423439</v>
      </c>
      <c r="T359" s="530">
        <v>234152.57124786946</v>
      </c>
      <c r="U359" s="530" t="s">
        <v>57</v>
      </c>
    </row>
    <row r="360" spans="1:21" ht="13.8" x14ac:dyDescent="0.3">
      <c r="A360" s="530" t="str">
        <f t="shared" si="10"/>
        <v>Conwy.2018.Economic Impact.Direct Revenue</v>
      </c>
      <c r="B360" s="530" t="s">
        <v>219</v>
      </c>
      <c r="C360" s="530" t="str">
        <f t="shared" si="11"/>
        <v>2018.Economic Impact.Direct Revenue</v>
      </c>
      <c r="D360" s="530" t="s">
        <v>238</v>
      </c>
      <c r="E360" s="530" t="s">
        <v>17</v>
      </c>
      <c r="F360" s="530" t="s">
        <v>46</v>
      </c>
      <c r="G360" s="530" t="s">
        <v>46</v>
      </c>
      <c r="H360" s="530">
        <v>11889.74935654764</v>
      </c>
      <c r="I360" s="530">
        <v>22125.706082040779</v>
      </c>
      <c r="J360" s="530">
        <v>33306.102019459715</v>
      </c>
      <c r="K360" s="530">
        <v>57398.981994056689</v>
      </c>
      <c r="L360" s="530">
        <v>66093.697793788946</v>
      </c>
      <c r="M360" s="530">
        <v>65745.932635038596</v>
      </c>
      <c r="N360" s="530">
        <v>86408.809337971747</v>
      </c>
      <c r="O360" s="530">
        <v>94185.878692317114</v>
      </c>
      <c r="P360" s="530">
        <v>65636.331914262511</v>
      </c>
      <c r="Q360" s="530">
        <v>43135.098025950152</v>
      </c>
      <c r="R360" s="530">
        <v>23413.505651073807</v>
      </c>
      <c r="S360" s="530">
        <v>14136.745519860149</v>
      </c>
      <c r="T360" s="530">
        <v>583476.5390223678</v>
      </c>
      <c r="U360" s="530" t="s">
        <v>57</v>
      </c>
    </row>
    <row r="361" spans="1:21" ht="13.8" x14ac:dyDescent="0.3">
      <c r="A361" s="530" t="str">
        <f t="shared" si="10"/>
        <v>Conwy.2018.Economic Impact.VAT</v>
      </c>
      <c r="B361" s="530" t="s">
        <v>219</v>
      </c>
      <c r="C361" s="530" t="str">
        <f t="shared" si="11"/>
        <v>2018.Economic Impact.VAT</v>
      </c>
      <c r="D361" s="530" t="s">
        <v>238</v>
      </c>
      <c r="E361" s="530" t="s">
        <v>17</v>
      </c>
      <c r="F361" s="530" t="s">
        <v>47</v>
      </c>
      <c r="G361" s="530" t="s">
        <v>47</v>
      </c>
      <c r="H361" s="530">
        <v>2377.9498713095286</v>
      </c>
      <c r="I361" s="530">
        <v>4425.1412164081557</v>
      </c>
      <c r="J361" s="530">
        <v>6661.2204038919426</v>
      </c>
      <c r="K361" s="530">
        <v>11479.796398811339</v>
      </c>
      <c r="L361" s="530">
        <v>13218.739558757788</v>
      </c>
      <c r="M361" s="530">
        <v>13149.186527007721</v>
      </c>
      <c r="N361" s="530">
        <v>17281.761867594349</v>
      </c>
      <c r="O361" s="530">
        <v>18837.175738463422</v>
      </c>
      <c r="P361" s="530">
        <v>13127.266382852502</v>
      </c>
      <c r="Q361" s="530">
        <v>8627.0196051900311</v>
      </c>
      <c r="R361" s="530">
        <v>4682.7011302147621</v>
      </c>
      <c r="S361" s="530">
        <v>2827.3491039720298</v>
      </c>
      <c r="T361" s="530">
        <v>116695.30780447356</v>
      </c>
      <c r="U361" s="530" t="s">
        <v>57</v>
      </c>
    </row>
    <row r="362" spans="1:21" ht="13.8" x14ac:dyDescent="0.3">
      <c r="A362" s="530" t="str">
        <f t="shared" si="10"/>
        <v>Conwy.2018.Economic Impact.Serviced Accommodation</v>
      </c>
      <c r="B362" s="530" t="s">
        <v>219</v>
      </c>
      <c r="C362" s="530" t="str">
        <f t="shared" si="11"/>
        <v>2018.Economic Impact.Serviced Accommodation</v>
      </c>
      <c r="D362" s="530" t="s">
        <v>238</v>
      </c>
      <c r="E362" s="530" t="s">
        <v>17</v>
      </c>
      <c r="F362" s="530" t="s">
        <v>43</v>
      </c>
      <c r="G362" s="530" t="s">
        <v>43</v>
      </c>
      <c r="H362" s="530">
        <v>10130.259398550261</v>
      </c>
      <c r="I362" s="530">
        <v>13340.455956597096</v>
      </c>
      <c r="J362" s="530">
        <v>10669.354337342111</v>
      </c>
      <c r="K362" s="530">
        <v>13993.304328893628</v>
      </c>
      <c r="L362" s="530">
        <v>20438.416725188265</v>
      </c>
      <c r="M362" s="530">
        <v>16352.02535891112</v>
      </c>
      <c r="N362" s="530">
        <v>20489.655758717985</v>
      </c>
      <c r="O362" s="530">
        <v>22936.249299378731</v>
      </c>
      <c r="P362" s="530">
        <v>20522.199175266232</v>
      </c>
      <c r="Q362" s="530">
        <v>11409.451746206816</v>
      </c>
      <c r="R362" s="530">
        <v>14251.6823984245</v>
      </c>
      <c r="S362" s="530">
        <v>11583.357963119062</v>
      </c>
      <c r="T362" s="530">
        <v>186116.41244659582</v>
      </c>
      <c r="U362" s="530" t="s">
        <v>57</v>
      </c>
    </row>
    <row r="363" spans="1:21" ht="13.8" x14ac:dyDescent="0.3">
      <c r="A363" s="530" t="str">
        <f t="shared" si="10"/>
        <v>Conwy.2018.Economic Impact.Non-Serviced Accommodation</v>
      </c>
      <c r="B363" s="530" t="s">
        <v>219</v>
      </c>
      <c r="C363" s="530" t="str">
        <f t="shared" si="11"/>
        <v>2018.Economic Impact.Non-Serviced Accommodation</v>
      </c>
      <c r="D363" s="530" t="s">
        <v>238</v>
      </c>
      <c r="E363" s="530" t="s">
        <v>17</v>
      </c>
      <c r="F363" s="530" t="s">
        <v>48</v>
      </c>
      <c r="G363" s="530" t="s">
        <v>48</v>
      </c>
      <c r="H363" s="530">
        <v>3564.0866044162558</v>
      </c>
      <c r="I363" s="530">
        <v>5430.3863627241844</v>
      </c>
      <c r="J363" s="530">
        <v>30322.038772963861</v>
      </c>
      <c r="K363" s="530">
        <v>40321.402035689665</v>
      </c>
      <c r="L363" s="530">
        <v>44357.636828434661</v>
      </c>
      <c r="M363" s="530">
        <v>47769.642820428831</v>
      </c>
      <c r="N363" s="530">
        <v>63044.990034615934</v>
      </c>
      <c r="O363" s="530">
        <v>61883.222612356782</v>
      </c>
      <c r="P363" s="530">
        <v>45715.044054941376</v>
      </c>
      <c r="Q363" s="530">
        <v>39079.233166904727</v>
      </c>
      <c r="R363" s="530">
        <v>16348.255928679137</v>
      </c>
      <c r="S363" s="530">
        <v>6932.8443146620139</v>
      </c>
      <c r="T363" s="530">
        <v>404768.78353681747</v>
      </c>
      <c r="U363" s="530" t="s">
        <v>57</v>
      </c>
    </row>
    <row r="364" spans="1:21" ht="13.8" x14ac:dyDescent="0.3">
      <c r="A364" s="530" t="str">
        <f t="shared" si="10"/>
        <v>Conwy.2018.Economic Impact.SFR</v>
      </c>
      <c r="B364" s="530" t="s">
        <v>219</v>
      </c>
      <c r="C364" s="530" t="str">
        <f t="shared" si="11"/>
        <v>2018.Economic Impact.SFR</v>
      </c>
      <c r="D364" s="530" t="s">
        <v>238</v>
      </c>
      <c r="E364" s="530" t="s">
        <v>17</v>
      </c>
      <c r="F364" s="530" t="s">
        <v>18</v>
      </c>
      <c r="G364" s="530" t="s">
        <v>18</v>
      </c>
      <c r="H364" s="530">
        <v>2042.4497824413793</v>
      </c>
      <c r="I364" s="530">
        <v>686.26312690030329</v>
      </c>
      <c r="J364" s="530">
        <v>780.66969462203826</v>
      </c>
      <c r="K364" s="530">
        <v>1862.7142015865372</v>
      </c>
      <c r="L364" s="530">
        <v>1198.2372056989423</v>
      </c>
      <c r="M364" s="530">
        <v>923.02390568090789</v>
      </c>
      <c r="N364" s="530">
        <v>1497.7965071236779</v>
      </c>
      <c r="O364" s="530">
        <v>1585.5583048865367</v>
      </c>
      <c r="P364" s="530">
        <v>816.69124674063323</v>
      </c>
      <c r="Q364" s="530">
        <v>815.8906064259163</v>
      </c>
      <c r="R364" s="530">
        <v>635.74653561458638</v>
      </c>
      <c r="S364" s="530">
        <v>1840.9280705738297</v>
      </c>
      <c r="T364" s="530">
        <v>14685.969188295287</v>
      </c>
      <c r="U364" s="530" t="s">
        <v>57</v>
      </c>
    </row>
    <row r="365" spans="1:21" ht="13.8" x14ac:dyDescent="0.3">
      <c r="A365" s="530" t="str">
        <f t="shared" si="10"/>
        <v>Conwy.2018.Economic Impact.Day Visitor</v>
      </c>
      <c r="B365" s="530" t="s">
        <v>219</v>
      </c>
      <c r="C365" s="530" t="str">
        <f t="shared" si="11"/>
        <v>2018.Economic Impact.Day Visitor</v>
      </c>
      <c r="D365" s="530" t="s">
        <v>238</v>
      </c>
      <c r="E365" s="530" t="s">
        <v>17</v>
      </c>
      <c r="F365" s="530" t="s">
        <v>71</v>
      </c>
      <c r="G365" s="530" t="s">
        <v>71</v>
      </c>
      <c r="H365" s="530">
        <v>2977.1564467866901</v>
      </c>
      <c r="I365" s="530">
        <v>15723.629800665083</v>
      </c>
      <c r="J365" s="530">
        <v>11480.746372350532</v>
      </c>
      <c r="K365" s="530">
        <v>35818.077069083767</v>
      </c>
      <c r="L365" s="530">
        <v>39755.797886734872</v>
      </c>
      <c r="M365" s="530">
        <v>40316.102314540694</v>
      </c>
      <c r="N365" s="530">
        <v>53596.501757067475</v>
      </c>
      <c r="O365" s="530">
        <v>64865.357865804544</v>
      </c>
      <c r="P365" s="530">
        <v>38185.161919944359</v>
      </c>
      <c r="Q365" s="530">
        <v>17985.897884927308</v>
      </c>
      <c r="R365" s="530">
        <v>5998.5512711962938</v>
      </c>
      <c r="S365" s="530">
        <v>2050.272313900713</v>
      </c>
      <c r="T365" s="530">
        <v>328753.25290300226</v>
      </c>
      <c r="U365" s="530" t="s">
        <v>57</v>
      </c>
    </row>
    <row r="366" spans="1:21" ht="13.8" x14ac:dyDescent="0.3">
      <c r="A366" s="530" t="str">
        <f t="shared" si="10"/>
        <v>Conwy.2018.Economic Impact.Accommodation</v>
      </c>
      <c r="B366" s="530" t="s">
        <v>219</v>
      </c>
      <c r="C366" s="530" t="str">
        <f t="shared" si="11"/>
        <v>2018.Economic Impact.Accommodation</v>
      </c>
      <c r="D366" s="530" t="s">
        <v>238</v>
      </c>
      <c r="E366" s="530" t="s">
        <v>17</v>
      </c>
      <c r="F366" s="530" t="s">
        <v>23</v>
      </c>
      <c r="G366" s="530" t="s">
        <v>23</v>
      </c>
      <c r="H366" s="530">
        <v>4798.4145506473915</v>
      </c>
      <c r="I366" s="530">
        <v>6482.6937352344694</v>
      </c>
      <c r="J366" s="530">
        <v>8177.1883730859772</v>
      </c>
      <c r="K366" s="530">
        <v>10542.373259482534</v>
      </c>
      <c r="L366" s="530">
        <v>13558.456571050112</v>
      </c>
      <c r="M366" s="530">
        <v>12040.760659564907</v>
      </c>
      <c r="N366" s="530">
        <v>18649.608263217167</v>
      </c>
      <c r="O366" s="530">
        <v>20328.528393007145</v>
      </c>
      <c r="P366" s="530">
        <v>17734.308394638661</v>
      </c>
      <c r="Q366" s="530">
        <v>10004.252629197497</v>
      </c>
      <c r="R366" s="530">
        <v>8456.4452717850272</v>
      </c>
      <c r="S366" s="530">
        <v>6764.3603965881812</v>
      </c>
      <c r="T366" s="530">
        <v>137537.39049749906</v>
      </c>
      <c r="U366" s="530" t="s">
        <v>57</v>
      </c>
    </row>
    <row r="367" spans="1:21" ht="13.8" x14ac:dyDescent="0.3">
      <c r="A367" s="530" t="str">
        <f t="shared" si="10"/>
        <v>Conwy.2018.Economic Impact.Food &amp; Drink</v>
      </c>
      <c r="B367" s="530" t="s">
        <v>219</v>
      </c>
      <c r="C367" s="530" t="str">
        <f t="shared" si="11"/>
        <v>2018.Economic Impact.Food &amp; Drink</v>
      </c>
      <c r="D367" s="530" t="s">
        <v>238</v>
      </c>
      <c r="E367" s="530" t="s">
        <v>17</v>
      </c>
      <c r="F367" s="530" t="s">
        <v>49</v>
      </c>
      <c r="G367" s="530" t="s">
        <v>49</v>
      </c>
      <c r="H367" s="530">
        <v>2193.5547071658393</v>
      </c>
      <c r="I367" s="530">
        <v>4133.4087186856259</v>
      </c>
      <c r="J367" s="530">
        <v>7966.015612083429</v>
      </c>
      <c r="K367" s="530">
        <v>13838.372815090164</v>
      </c>
      <c r="L367" s="530">
        <v>15630.668331108162</v>
      </c>
      <c r="M367" s="530">
        <v>15803.123966957719</v>
      </c>
      <c r="N367" s="530">
        <v>19986.140361994083</v>
      </c>
      <c r="O367" s="530">
        <v>21433.977499422963</v>
      </c>
      <c r="P367" s="530">
        <v>14252.327373654574</v>
      </c>
      <c r="Q367" s="530">
        <v>10513.946459511444</v>
      </c>
      <c r="R367" s="530">
        <v>4858.9951107781408</v>
      </c>
      <c r="S367" s="530">
        <v>2419.7902997790156</v>
      </c>
      <c r="T367" s="530">
        <v>133030.32125623114</v>
      </c>
      <c r="U367" s="530" t="s">
        <v>57</v>
      </c>
    </row>
    <row r="368" spans="1:21" ht="13.8" x14ac:dyDescent="0.3">
      <c r="A368" s="530" t="str">
        <f t="shared" si="10"/>
        <v>Conwy.2018.Economic Impact.Recreation</v>
      </c>
      <c r="B368" s="530" t="s">
        <v>219</v>
      </c>
      <c r="C368" s="530" t="str">
        <f t="shared" si="11"/>
        <v>2018.Economic Impact.Recreation</v>
      </c>
      <c r="D368" s="530" t="s">
        <v>238</v>
      </c>
      <c r="E368" s="530" t="s">
        <v>17</v>
      </c>
      <c r="F368" s="530" t="s">
        <v>50</v>
      </c>
      <c r="G368" s="530" t="s">
        <v>50</v>
      </c>
      <c r="H368" s="530">
        <v>686.30951476894404</v>
      </c>
      <c r="I368" s="530">
        <v>1308.2041583021376</v>
      </c>
      <c r="J368" s="530">
        <v>2736.5096595718487</v>
      </c>
      <c r="K368" s="530">
        <v>4511.8249376392914</v>
      </c>
      <c r="L368" s="530">
        <v>4922.2644206969426</v>
      </c>
      <c r="M368" s="530">
        <v>5275.3711592424534</v>
      </c>
      <c r="N368" s="530">
        <v>6320.6917242176542</v>
      </c>
      <c r="O368" s="530">
        <v>6407.5779617961725</v>
      </c>
      <c r="P368" s="530">
        <v>4330.5651987099973</v>
      </c>
      <c r="Q368" s="530">
        <v>3308.2767745404376</v>
      </c>
      <c r="R368" s="530">
        <v>1500.9111504166331</v>
      </c>
      <c r="S368" s="530">
        <v>790.36570098290861</v>
      </c>
      <c r="T368" s="530">
        <v>42098.87236088542</v>
      </c>
      <c r="U368" s="530" t="s">
        <v>57</v>
      </c>
    </row>
    <row r="369" spans="1:21" ht="13.8" x14ac:dyDescent="0.3">
      <c r="A369" s="530" t="str">
        <f t="shared" si="10"/>
        <v>Conwy.2018.Economic Impact.Shopping</v>
      </c>
      <c r="B369" s="530" t="s">
        <v>219</v>
      </c>
      <c r="C369" s="530" t="str">
        <f t="shared" si="11"/>
        <v>2018.Economic Impact.Shopping</v>
      </c>
      <c r="D369" s="530" t="s">
        <v>238</v>
      </c>
      <c r="E369" s="530" t="s">
        <v>17</v>
      </c>
      <c r="F369" s="530" t="s">
        <v>51</v>
      </c>
      <c r="G369" s="530" t="s">
        <v>51</v>
      </c>
      <c r="H369" s="530">
        <v>3224.6586775696728</v>
      </c>
      <c r="I369" s="530">
        <v>8085.912725376922</v>
      </c>
      <c r="J369" s="530">
        <v>10726.853366075378</v>
      </c>
      <c r="K369" s="530">
        <v>21872.755039908254</v>
      </c>
      <c r="L369" s="530">
        <v>24557.680470174906</v>
      </c>
      <c r="M369" s="530">
        <v>24947.934447633383</v>
      </c>
      <c r="N369" s="530">
        <v>31863.929663325362</v>
      </c>
      <c r="O369" s="530">
        <v>35776.749350272934</v>
      </c>
      <c r="P369" s="530">
        <v>22615.151619696251</v>
      </c>
      <c r="Q369" s="530">
        <v>14537.988589634531</v>
      </c>
      <c r="R369" s="530">
        <v>6413.6092858717257</v>
      </c>
      <c r="S369" s="530">
        <v>3095.1837870015361</v>
      </c>
      <c r="T369" s="530">
        <v>207718.40702254087</v>
      </c>
      <c r="U369" s="530" t="s">
        <v>57</v>
      </c>
    </row>
    <row r="370" spans="1:21" ht="13.8" x14ac:dyDescent="0.3">
      <c r="A370" s="530" t="str">
        <f t="shared" si="10"/>
        <v>Conwy.2018.Economic Impact.Transport</v>
      </c>
      <c r="B370" s="530" t="s">
        <v>219</v>
      </c>
      <c r="C370" s="530" t="str">
        <f t="shared" si="11"/>
        <v>2018.Economic Impact.Transport</v>
      </c>
      <c r="D370" s="530" t="s">
        <v>238</v>
      </c>
      <c r="E370" s="530" t="s">
        <v>17</v>
      </c>
      <c r="F370" s="530" t="s">
        <v>52</v>
      </c>
      <c r="G370" s="530" t="s">
        <v>52</v>
      </c>
      <c r="H370" s="530">
        <v>986.81190639579336</v>
      </c>
      <c r="I370" s="530">
        <v>2115.4867444416241</v>
      </c>
      <c r="J370" s="530">
        <v>3699.5350086430799</v>
      </c>
      <c r="K370" s="530">
        <v>6633.6559419364394</v>
      </c>
      <c r="L370" s="530">
        <v>7424.6280007588157</v>
      </c>
      <c r="M370" s="530">
        <v>7678.7424016401401</v>
      </c>
      <c r="N370" s="530">
        <v>9588.4393252174832</v>
      </c>
      <c r="O370" s="530">
        <v>10239.045487817901</v>
      </c>
      <c r="P370" s="530">
        <v>6703.9793275630191</v>
      </c>
      <c r="Q370" s="530">
        <v>4770.6335730662386</v>
      </c>
      <c r="R370" s="530">
        <v>2183.5448322222815</v>
      </c>
      <c r="S370" s="530">
        <v>1067.0453355085083</v>
      </c>
      <c r="T370" s="530">
        <v>63091.54788521133</v>
      </c>
      <c r="U370" s="530" t="s">
        <v>57</v>
      </c>
    </row>
    <row r="371" spans="1:21" ht="13.8" x14ac:dyDescent="0.3">
      <c r="A371" s="530" t="str">
        <f t="shared" si="10"/>
        <v>Conwy.2018.Economic Impact.Direct Expenditure</v>
      </c>
      <c r="B371" s="530" t="s">
        <v>219</v>
      </c>
      <c r="C371" s="530" t="str">
        <f t="shared" si="11"/>
        <v>2018.Economic Impact.Direct Expenditure</v>
      </c>
      <c r="D371" s="530" t="s">
        <v>238</v>
      </c>
      <c r="E371" s="530" t="s">
        <v>17</v>
      </c>
      <c r="F371" s="530" t="s">
        <v>44</v>
      </c>
      <c r="G371" s="530" t="s">
        <v>44</v>
      </c>
      <c r="H371" s="530">
        <v>14267.699227857167</v>
      </c>
      <c r="I371" s="530">
        <v>26550.847298448934</v>
      </c>
      <c r="J371" s="530">
        <v>39967.322423351659</v>
      </c>
      <c r="K371" s="530">
        <v>68878.778392868015</v>
      </c>
      <c r="L371" s="530">
        <v>79312.437352546724</v>
      </c>
      <c r="M371" s="530">
        <v>78895.119162046321</v>
      </c>
      <c r="N371" s="530">
        <v>103690.5712055661</v>
      </c>
      <c r="O371" s="530">
        <v>113023.05443078055</v>
      </c>
      <c r="P371" s="530">
        <v>78763.598297114979</v>
      </c>
      <c r="Q371" s="530">
        <v>51762.11763114018</v>
      </c>
      <c r="R371" s="530">
        <v>28096.206781288565</v>
      </c>
      <c r="S371" s="530">
        <v>16964.094623832181</v>
      </c>
      <c r="T371" s="530">
        <v>700171.84682684136</v>
      </c>
      <c r="U371" s="530" t="s">
        <v>57</v>
      </c>
    </row>
    <row r="372" spans="1:21" ht="13.8" x14ac:dyDescent="0.3">
      <c r="A372" s="530" t="str">
        <f t="shared" si="10"/>
        <v>Conwy.2018.Population.Total</v>
      </c>
      <c r="B372" s="530" t="s">
        <v>219</v>
      </c>
      <c r="C372" s="530" t="str">
        <f t="shared" si="11"/>
        <v>2018.Population.Total</v>
      </c>
      <c r="D372" s="530" t="s">
        <v>238</v>
      </c>
      <c r="E372" s="530" t="s">
        <v>19</v>
      </c>
      <c r="F372" s="530" t="s">
        <v>54</v>
      </c>
      <c r="G372" s="530" t="s">
        <v>54</v>
      </c>
      <c r="H372" s="530">
        <v>116863</v>
      </c>
      <c r="I372" s="530">
        <v>116863</v>
      </c>
      <c r="J372" s="530">
        <v>116863</v>
      </c>
      <c r="K372" s="530">
        <v>116863</v>
      </c>
      <c r="L372" s="530">
        <v>116863</v>
      </c>
      <c r="M372" s="530">
        <v>116863</v>
      </c>
      <c r="N372" s="530">
        <v>116863</v>
      </c>
      <c r="O372" s="530">
        <v>116863</v>
      </c>
      <c r="P372" s="530">
        <v>116863</v>
      </c>
      <c r="Q372" s="530">
        <v>116863</v>
      </c>
      <c r="R372" s="530">
        <v>116863</v>
      </c>
      <c r="S372" s="530">
        <v>116863</v>
      </c>
      <c r="T372" s="530">
        <v>116863</v>
      </c>
      <c r="U372" s="530" t="s">
        <v>60</v>
      </c>
    </row>
    <row r="373" spans="1:21" ht="13.8" x14ac:dyDescent="0.3">
      <c r="A373" s="530" t="str">
        <f t="shared" si="10"/>
        <v>Conwy.2018.Employment.Serviced Accommodation</v>
      </c>
      <c r="B373" s="530" t="s">
        <v>219</v>
      </c>
      <c r="C373" s="530" t="str">
        <f t="shared" si="11"/>
        <v>2018.Employment.Serviced Accommodation</v>
      </c>
      <c r="D373" s="530" t="s">
        <v>238</v>
      </c>
      <c r="E373" s="530" t="s">
        <v>20</v>
      </c>
      <c r="F373" s="530" t="s">
        <v>43</v>
      </c>
      <c r="G373" s="530" t="s">
        <v>43</v>
      </c>
      <c r="H373" s="530">
        <v>1959.1127590136048</v>
      </c>
      <c r="I373" s="530">
        <v>2252.9272544893947</v>
      </c>
      <c r="J373" s="530">
        <v>2229.2838265114824</v>
      </c>
      <c r="K373" s="530">
        <v>2440.032082372933</v>
      </c>
      <c r="L373" s="530">
        <v>2794.0225383941656</v>
      </c>
      <c r="M373" s="530">
        <v>2557.4521291933297</v>
      </c>
      <c r="N373" s="530">
        <v>2567.9455298105649</v>
      </c>
      <c r="O373" s="530">
        <v>2646.4627309504813</v>
      </c>
      <c r="P373" s="530">
        <v>2554.1619637717954</v>
      </c>
      <c r="Q373" s="530">
        <v>2303.7329890081428</v>
      </c>
      <c r="R373" s="530">
        <v>2375.295727445101</v>
      </c>
      <c r="S373" s="530">
        <v>2142.9108837458989</v>
      </c>
      <c r="T373" s="530">
        <v>2401.945034558908</v>
      </c>
      <c r="U373" s="530" t="s">
        <v>59</v>
      </c>
    </row>
    <row r="374" spans="1:21" ht="13.8" x14ac:dyDescent="0.3">
      <c r="A374" s="530" t="str">
        <f t="shared" si="10"/>
        <v>Conwy.2018.Employment.Non-Serviced Accommodation</v>
      </c>
      <c r="B374" s="530" t="s">
        <v>219</v>
      </c>
      <c r="C374" s="530" t="str">
        <f t="shared" si="11"/>
        <v>2018.Employment.Non-Serviced Accommodation</v>
      </c>
      <c r="D374" s="530" t="s">
        <v>238</v>
      </c>
      <c r="E374" s="530" t="s">
        <v>20</v>
      </c>
      <c r="F374" s="530" t="s">
        <v>48</v>
      </c>
      <c r="G374" s="530" t="s">
        <v>48</v>
      </c>
      <c r="H374" s="530">
        <v>1394.0189556217024</v>
      </c>
      <c r="I374" s="530">
        <v>1532.6219312373698</v>
      </c>
      <c r="J374" s="530">
        <v>4051.4095930709072</v>
      </c>
      <c r="K374" s="530">
        <v>5006.5936720132977</v>
      </c>
      <c r="L374" s="530">
        <v>5367.9480863817662</v>
      </c>
      <c r="M374" s="530">
        <v>5744.2303839226743</v>
      </c>
      <c r="N374" s="530">
        <v>6708.3751529931051</v>
      </c>
      <c r="O374" s="530">
        <v>7266.4709978757646</v>
      </c>
      <c r="P374" s="530">
        <v>4966.681974608684</v>
      </c>
      <c r="Q374" s="530">
        <v>4763.7750812133727</v>
      </c>
      <c r="R374" s="530">
        <v>2539.1119872821287</v>
      </c>
      <c r="S374" s="530">
        <v>1514.600183687807</v>
      </c>
      <c r="T374" s="530">
        <v>4237.9864999923821</v>
      </c>
      <c r="U374" s="530" t="s">
        <v>59</v>
      </c>
    </row>
    <row r="375" spans="1:21" ht="13.8" x14ac:dyDescent="0.3">
      <c r="A375" s="530" t="str">
        <f t="shared" si="10"/>
        <v>Conwy.2018.Employment.SFR</v>
      </c>
      <c r="B375" s="530" t="s">
        <v>219</v>
      </c>
      <c r="C375" s="530" t="str">
        <f t="shared" si="11"/>
        <v>2018.Employment.SFR</v>
      </c>
      <c r="D375" s="530" t="s">
        <v>238</v>
      </c>
      <c r="E375" s="530" t="s">
        <v>20</v>
      </c>
      <c r="F375" s="530" t="s">
        <v>18</v>
      </c>
      <c r="G375" s="530" t="s">
        <v>18</v>
      </c>
      <c r="H375" s="530">
        <v>234.76702106188006</v>
      </c>
      <c r="I375" s="530">
        <v>78.881719076791697</v>
      </c>
      <c r="J375" s="530">
        <v>89.733172494763039</v>
      </c>
      <c r="K375" s="530">
        <v>214.1075232084346</v>
      </c>
      <c r="L375" s="530">
        <v>137.72998568963632</v>
      </c>
      <c r="M375" s="530">
        <v>106.09591215828485</v>
      </c>
      <c r="N375" s="530">
        <v>172.16248211204538</v>
      </c>
      <c r="O375" s="530">
        <v>182.25016015482876</v>
      </c>
      <c r="P375" s="530">
        <v>93.873628019108608</v>
      </c>
      <c r="Q375" s="530">
        <v>93.781599346852374</v>
      </c>
      <c r="R375" s="530">
        <v>73.075148089194528</v>
      </c>
      <c r="S375" s="530">
        <v>211.60334165044125</v>
      </c>
      <c r="T375" s="530">
        <v>140.67180775518844</v>
      </c>
      <c r="U375" s="530" t="s">
        <v>59</v>
      </c>
    </row>
    <row r="376" spans="1:21" ht="13.8" x14ac:dyDescent="0.3">
      <c r="A376" s="530" t="str">
        <f t="shared" si="10"/>
        <v>Conwy.2018.Employment.Day Visitor</v>
      </c>
      <c r="B376" s="530" t="s">
        <v>219</v>
      </c>
      <c r="C376" s="530" t="str">
        <f t="shared" si="11"/>
        <v>2018.Employment.Day Visitor</v>
      </c>
      <c r="D376" s="530" t="s">
        <v>238</v>
      </c>
      <c r="E376" s="530" t="s">
        <v>20</v>
      </c>
      <c r="F376" s="530" t="s">
        <v>71</v>
      </c>
      <c r="G376" s="530" t="s">
        <v>71</v>
      </c>
      <c r="H376" s="530">
        <v>313.81180106912717</v>
      </c>
      <c r="I376" s="530">
        <v>1657.3736299335451</v>
      </c>
      <c r="J376" s="530">
        <v>1210.1459097367028</v>
      </c>
      <c r="K376" s="530">
        <v>3775.4600662701832</v>
      </c>
      <c r="L376" s="530">
        <v>4190.5216473396677</v>
      </c>
      <c r="M376" s="530">
        <v>4249.5814061328365</v>
      </c>
      <c r="N376" s="530">
        <v>5649.4225439658467</v>
      </c>
      <c r="O376" s="530">
        <v>6837.2338312391175</v>
      </c>
      <c r="P376" s="530">
        <v>4024.9663228640388</v>
      </c>
      <c r="Q376" s="530">
        <v>1895.8315123836835</v>
      </c>
      <c r="R376" s="530">
        <v>632.28661706755247</v>
      </c>
      <c r="S376" s="530">
        <v>216.11213888399615</v>
      </c>
      <c r="T376" s="530">
        <v>2887.7289522405249</v>
      </c>
      <c r="U376" s="530" t="s">
        <v>59</v>
      </c>
    </row>
    <row r="377" spans="1:21" ht="13.8" x14ac:dyDescent="0.3">
      <c r="A377" s="530" t="str">
        <f t="shared" si="10"/>
        <v>Conwy.2018.Employment.Direct Employment</v>
      </c>
      <c r="B377" s="530" t="s">
        <v>219</v>
      </c>
      <c r="C377" s="530" t="str">
        <f t="shared" si="11"/>
        <v>2018.Employment.Direct Employment</v>
      </c>
      <c r="D377" s="530" t="s">
        <v>238</v>
      </c>
      <c r="E377" s="530" t="s">
        <v>20</v>
      </c>
      <c r="F377" s="530" t="s">
        <v>55</v>
      </c>
      <c r="G377" s="530" t="s">
        <v>55</v>
      </c>
      <c r="H377" s="530">
        <v>3901.7105367663144</v>
      </c>
      <c r="I377" s="530">
        <v>5521.8045347371008</v>
      </c>
      <c r="J377" s="530">
        <v>7580.5725018138546</v>
      </c>
      <c r="K377" s="530">
        <v>11436.193343864848</v>
      </c>
      <c r="L377" s="530">
        <v>12490.222257805235</v>
      </c>
      <c r="M377" s="530">
        <v>12657.359831407126</v>
      </c>
      <c r="N377" s="530">
        <v>15097.905708881564</v>
      </c>
      <c r="O377" s="530">
        <v>16932.417720220194</v>
      </c>
      <c r="P377" s="530">
        <v>11639.683889263628</v>
      </c>
      <c r="Q377" s="530">
        <v>9057.1211819520504</v>
      </c>
      <c r="R377" s="530">
        <v>5619.7694798839766</v>
      </c>
      <c r="S377" s="530">
        <v>4085.2265479681428</v>
      </c>
      <c r="T377" s="530">
        <v>9668.3322945470045</v>
      </c>
      <c r="U377" s="530" t="s">
        <v>59</v>
      </c>
    </row>
    <row r="378" spans="1:21" ht="13.8" x14ac:dyDescent="0.3">
      <c r="A378" s="530" t="str">
        <f t="shared" si="10"/>
        <v>Conwy.2018.Employment.Indirect Employment</v>
      </c>
      <c r="B378" s="530" t="s">
        <v>219</v>
      </c>
      <c r="C378" s="530" t="str">
        <f t="shared" si="11"/>
        <v>2018.Employment.Indirect Employment</v>
      </c>
      <c r="D378" s="530" t="s">
        <v>238</v>
      </c>
      <c r="E378" s="530" t="s">
        <v>20</v>
      </c>
      <c r="F378" s="530" t="s">
        <v>53</v>
      </c>
      <c r="G378" s="530" t="s">
        <v>53</v>
      </c>
      <c r="H378" s="530">
        <v>528.69489179280185</v>
      </c>
      <c r="I378" s="530">
        <v>1026.1624047557336</v>
      </c>
      <c r="J378" s="530">
        <v>1579.7501795174578</v>
      </c>
      <c r="K378" s="530">
        <v>2748.7620174864282</v>
      </c>
      <c r="L378" s="530">
        <v>3143.6472859827791</v>
      </c>
      <c r="M378" s="530">
        <v>3146.9795561052833</v>
      </c>
      <c r="N378" s="530">
        <v>4154.4507782988103</v>
      </c>
      <c r="O378" s="530">
        <v>4547.9125696612391</v>
      </c>
      <c r="P378" s="530">
        <v>3148.1475726567105</v>
      </c>
      <c r="Q378" s="530">
        <v>2084.2610957683382</v>
      </c>
      <c r="R378" s="530">
        <v>1086.5844645082166</v>
      </c>
      <c r="S378" s="530">
        <v>647.25267580629384</v>
      </c>
      <c r="T378" s="530">
        <v>2320.2171243616745</v>
      </c>
      <c r="U378" s="530" t="s">
        <v>59</v>
      </c>
    </row>
    <row r="379" spans="1:21" ht="13.8" x14ac:dyDescent="0.3">
      <c r="A379" s="530" t="str">
        <f t="shared" si="10"/>
        <v>Conwy.2018.Employment.Total</v>
      </c>
      <c r="B379" s="530" t="s">
        <v>219</v>
      </c>
      <c r="C379" s="530" t="str">
        <f t="shared" si="11"/>
        <v>2018.Employment.Total</v>
      </c>
      <c r="D379" s="530" t="s">
        <v>238</v>
      </c>
      <c r="E379" s="530" t="s">
        <v>20</v>
      </c>
      <c r="F379" s="530" t="s">
        <v>54</v>
      </c>
      <c r="G379" s="530" t="s">
        <v>54</v>
      </c>
      <c r="H379" s="530">
        <v>4430.4054285591164</v>
      </c>
      <c r="I379" s="530">
        <v>6547.9669394928342</v>
      </c>
      <c r="J379" s="530">
        <v>9160.3226813313122</v>
      </c>
      <c r="K379" s="530">
        <v>14184.955361351276</v>
      </c>
      <c r="L379" s="530">
        <v>15633.869543788014</v>
      </c>
      <c r="M379" s="530">
        <v>15804.339387512409</v>
      </c>
      <c r="N379" s="530">
        <v>19252.356487180376</v>
      </c>
      <c r="O379" s="530">
        <v>21480.330289881433</v>
      </c>
      <c r="P379" s="530">
        <v>14787.831461920337</v>
      </c>
      <c r="Q379" s="530">
        <v>11141.38227772039</v>
      </c>
      <c r="R379" s="530">
        <v>6706.3539443921927</v>
      </c>
      <c r="S379" s="530">
        <v>4732.4792237744368</v>
      </c>
      <c r="T379" s="530">
        <v>11988.549418908675</v>
      </c>
      <c r="U379" s="530" t="s">
        <v>59</v>
      </c>
    </row>
    <row r="380" spans="1:21" ht="13.8" x14ac:dyDescent="0.3">
      <c r="A380" s="530" t="str">
        <f t="shared" si="10"/>
        <v>Conwy.2018.Employment.Accommodation</v>
      </c>
      <c r="B380" s="530" t="s">
        <v>219</v>
      </c>
      <c r="C380" s="530" t="str">
        <f t="shared" si="11"/>
        <v>2018.Employment.Accommodation</v>
      </c>
      <c r="D380" s="530" t="s">
        <v>238</v>
      </c>
      <c r="E380" s="530" t="s">
        <v>20</v>
      </c>
      <c r="F380" s="530" t="s">
        <v>23</v>
      </c>
      <c r="G380" s="530" t="s">
        <v>23</v>
      </c>
      <c r="H380" s="530">
        <v>2654.4</v>
      </c>
      <c r="I380" s="530">
        <v>2819.2311580875444</v>
      </c>
      <c r="J380" s="530">
        <v>3154.2</v>
      </c>
      <c r="K380" s="530">
        <v>3248.3901119349257</v>
      </c>
      <c r="L380" s="530">
        <v>3306.0989702652923</v>
      </c>
      <c r="M380" s="530">
        <v>3279.4003483586744</v>
      </c>
      <c r="N380" s="530">
        <v>3265.9317460317461</v>
      </c>
      <c r="O380" s="530">
        <v>4057.8346956601008</v>
      </c>
      <c r="P380" s="530">
        <v>3265.460180338343</v>
      </c>
      <c r="Q380" s="530">
        <v>3221.9</v>
      </c>
      <c r="R380" s="530">
        <v>2980.2000000000003</v>
      </c>
      <c r="S380" s="530">
        <v>2780</v>
      </c>
      <c r="T380" s="530">
        <v>3169.4206008897186</v>
      </c>
      <c r="U380" s="530" t="s">
        <v>59</v>
      </c>
    </row>
    <row r="381" spans="1:21" ht="13.8" x14ac:dyDescent="0.3">
      <c r="A381" s="530" t="str">
        <f t="shared" si="10"/>
        <v>Conwy.2018.Employment.Food &amp; Drink</v>
      </c>
      <c r="B381" s="530" t="s">
        <v>219</v>
      </c>
      <c r="C381" s="530" t="str">
        <f t="shared" si="11"/>
        <v>2018.Employment.Food &amp; Drink</v>
      </c>
      <c r="D381" s="530" t="s">
        <v>238</v>
      </c>
      <c r="E381" s="530" t="s">
        <v>20</v>
      </c>
      <c r="F381" s="530" t="s">
        <v>49</v>
      </c>
      <c r="G381" s="530" t="s">
        <v>49</v>
      </c>
      <c r="H381" s="530">
        <v>504.84643655724108</v>
      </c>
      <c r="I381" s="530">
        <v>951.30367874855392</v>
      </c>
      <c r="J381" s="530">
        <v>1833.3778419940829</v>
      </c>
      <c r="K381" s="530">
        <v>3184.9003722708085</v>
      </c>
      <c r="L381" s="530">
        <v>3597.3970387835348</v>
      </c>
      <c r="M381" s="530">
        <v>3637.0876892781157</v>
      </c>
      <c r="N381" s="530">
        <v>4599.8085706839547</v>
      </c>
      <c r="O381" s="530">
        <v>4933.0281695197664</v>
      </c>
      <c r="P381" s="530">
        <v>3280.1719800885517</v>
      </c>
      <c r="Q381" s="530">
        <v>2419.7839182666339</v>
      </c>
      <c r="R381" s="530">
        <v>1118.2973275805989</v>
      </c>
      <c r="S381" s="530">
        <v>556.91453970509792</v>
      </c>
      <c r="T381" s="530">
        <v>2551.4097969564118</v>
      </c>
      <c r="U381" s="530" t="s">
        <v>59</v>
      </c>
    </row>
    <row r="382" spans="1:21" ht="13.8" x14ac:dyDescent="0.3">
      <c r="A382" s="530" t="str">
        <f t="shared" si="10"/>
        <v>Conwy.2018.Employment.Recreation</v>
      </c>
      <c r="B382" s="530" t="s">
        <v>219</v>
      </c>
      <c r="C382" s="530" t="str">
        <f t="shared" si="11"/>
        <v>2018.Employment.Recreation</v>
      </c>
      <c r="D382" s="530" t="s">
        <v>238</v>
      </c>
      <c r="E382" s="530" t="s">
        <v>20</v>
      </c>
      <c r="F382" s="530" t="s">
        <v>50</v>
      </c>
      <c r="G382" s="530" t="s">
        <v>50</v>
      </c>
      <c r="H382" s="530">
        <v>136.07983880856415</v>
      </c>
      <c r="I382" s="530">
        <v>259.38764822513247</v>
      </c>
      <c r="J382" s="530">
        <v>542.58870867903431</v>
      </c>
      <c r="K382" s="530">
        <v>894.59405273306766</v>
      </c>
      <c r="L382" s="530">
        <v>975.97502952742138</v>
      </c>
      <c r="M382" s="530">
        <v>1045.9882043843486</v>
      </c>
      <c r="N382" s="530">
        <v>1253.2519110998121</v>
      </c>
      <c r="O382" s="530">
        <v>1270.4795102368398</v>
      </c>
      <c r="P382" s="530">
        <v>858.65429738189073</v>
      </c>
      <c r="Q382" s="530">
        <v>655.9573494549935</v>
      </c>
      <c r="R382" s="530">
        <v>297.59713805429845</v>
      </c>
      <c r="S382" s="530">
        <v>156.71185503785597</v>
      </c>
      <c r="T382" s="530">
        <v>695.6054619686048</v>
      </c>
      <c r="U382" s="530" t="s">
        <v>59</v>
      </c>
    </row>
    <row r="383" spans="1:21" ht="13.8" x14ac:dyDescent="0.3">
      <c r="A383" s="530" t="str">
        <f t="shared" si="10"/>
        <v>Conwy.2018.Employment.Shopping</v>
      </c>
      <c r="B383" s="530" t="s">
        <v>219</v>
      </c>
      <c r="C383" s="530" t="str">
        <f t="shared" si="11"/>
        <v>2018.Employment.Shopping</v>
      </c>
      <c r="D383" s="530" t="s">
        <v>238</v>
      </c>
      <c r="E383" s="530" t="s">
        <v>20</v>
      </c>
      <c r="F383" s="530" t="s">
        <v>51</v>
      </c>
      <c r="G383" s="530" t="s">
        <v>51</v>
      </c>
      <c r="H383" s="530">
        <v>527.64762785472692</v>
      </c>
      <c r="I383" s="530">
        <v>1323.0896957444884</v>
      </c>
      <c r="J383" s="530">
        <v>1755.2241334332275</v>
      </c>
      <c r="K383" s="530">
        <v>3579.0167163221427</v>
      </c>
      <c r="L383" s="530">
        <v>4018.3483405034499</v>
      </c>
      <c r="M383" s="530">
        <v>4082.2052029054053</v>
      </c>
      <c r="N383" s="530">
        <v>5213.8624834721695</v>
      </c>
      <c r="O383" s="530">
        <v>5854.1131991222301</v>
      </c>
      <c r="P383" s="530">
        <v>3700.4943154793441</v>
      </c>
      <c r="Q383" s="530">
        <v>2378.8363235023367</v>
      </c>
      <c r="R383" s="530">
        <v>1049.4523805625772</v>
      </c>
      <c r="S383" s="530">
        <v>506.46178286895116</v>
      </c>
      <c r="T383" s="530">
        <v>2832.3960168142544</v>
      </c>
      <c r="U383" s="530" t="s">
        <v>59</v>
      </c>
    </row>
    <row r="384" spans="1:21" ht="13.8" x14ac:dyDescent="0.3">
      <c r="A384" s="530" t="str">
        <f t="shared" si="10"/>
        <v>Conwy.2018.Employment.Transport</v>
      </c>
      <c r="B384" s="530" t="s">
        <v>219</v>
      </c>
      <c r="C384" s="530" t="str">
        <f t="shared" si="11"/>
        <v>2018.Employment.Transport</v>
      </c>
      <c r="D384" s="530" t="s">
        <v>238</v>
      </c>
      <c r="E384" s="530" t="s">
        <v>20</v>
      </c>
      <c r="F384" s="530" t="s">
        <v>52</v>
      </c>
      <c r="G384" s="530" t="s">
        <v>52</v>
      </c>
      <c r="H384" s="530">
        <v>78.736633545782595</v>
      </c>
      <c r="I384" s="530">
        <v>168.79235393138222</v>
      </c>
      <c r="J384" s="530">
        <v>295.18181770751033</v>
      </c>
      <c r="K384" s="530">
        <v>529.29209060390315</v>
      </c>
      <c r="L384" s="530">
        <v>592.40287872553711</v>
      </c>
      <c r="M384" s="530">
        <v>612.6783864805825</v>
      </c>
      <c r="N384" s="530">
        <v>765.05099759387963</v>
      </c>
      <c r="O384" s="530">
        <v>816.9621456812547</v>
      </c>
      <c r="P384" s="530">
        <v>534.90311597549805</v>
      </c>
      <c r="Q384" s="530">
        <v>380.64359072808719</v>
      </c>
      <c r="R384" s="530">
        <v>174.22263368650209</v>
      </c>
      <c r="S384" s="530">
        <v>85.138370356237729</v>
      </c>
      <c r="T384" s="530">
        <v>419.50041791801317</v>
      </c>
      <c r="U384" s="530" t="s">
        <v>59</v>
      </c>
    </row>
    <row r="385" spans="1:21" ht="13.8" x14ac:dyDescent="0.3">
      <c r="A385" s="530" t="str">
        <f t="shared" si="10"/>
        <v>Conwy.2018.Visitor Days.Serviced Accommodation</v>
      </c>
      <c r="B385" s="530" t="s">
        <v>219</v>
      </c>
      <c r="C385" s="530" t="str">
        <f t="shared" si="11"/>
        <v>2018.Visitor Days.Serviced Accommodation</v>
      </c>
      <c r="D385" s="530" t="s">
        <v>238</v>
      </c>
      <c r="E385" s="530" t="s">
        <v>171</v>
      </c>
      <c r="F385" s="530" t="s">
        <v>43</v>
      </c>
      <c r="G385" s="530" t="s">
        <v>43</v>
      </c>
      <c r="H385" s="530">
        <v>106.1836477246932</v>
      </c>
      <c r="I385" s="530">
        <v>140.08075490580813</v>
      </c>
      <c r="J385" s="530">
        <v>111.91078054222973</v>
      </c>
      <c r="K385" s="530">
        <v>146.58719019438527</v>
      </c>
      <c r="L385" s="530">
        <v>214.00111368608668</v>
      </c>
      <c r="M385" s="530">
        <v>170.99549425526706</v>
      </c>
      <c r="N385" s="530">
        <v>168.9263352887202</v>
      </c>
      <c r="O385" s="530">
        <v>186.1521333928734</v>
      </c>
      <c r="P385" s="530">
        <v>166.712002647943</v>
      </c>
      <c r="Q385" s="530">
        <v>119.51059826983688</v>
      </c>
      <c r="R385" s="530">
        <v>149.25823857284166</v>
      </c>
      <c r="S385" s="530">
        <v>121.38428922831392</v>
      </c>
      <c r="T385" s="530">
        <v>1801.7025787089992</v>
      </c>
      <c r="U385" s="530" t="s">
        <v>61</v>
      </c>
    </row>
    <row r="386" spans="1:21" ht="13.8" x14ac:dyDescent="0.3">
      <c r="A386" s="530" t="str">
        <f t="shared" si="10"/>
        <v>Conwy.2018.Visitor Days.Non-Serviced Accommodation</v>
      </c>
      <c r="B386" s="530" t="s">
        <v>219</v>
      </c>
      <c r="C386" s="530" t="str">
        <f t="shared" si="11"/>
        <v>2018.Visitor Days.Non-Serviced Accommodation</v>
      </c>
      <c r="D386" s="530" t="s">
        <v>238</v>
      </c>
      <c r="E386" s="530" t="s">
        <v>171</v>
      </c>
      <c r="F386" s="530" t="s">
        <v>48</v>
      </c>
      <c r="G386" s="530" t="s">
        <v>48</v>
      </c>
      <c r="H386" s="530">
        <v>54.975978375428049</v>
      </c>
      <c r="I386" s="530">
        <v>84.441845191144978</v>
      </c>
      <c r="J386" s="530">
        <v>671.25966682261355</v>
      </c>
      <c r="K386" s="530">
        <v>905.39397210942582</v>
      </c>
      <c r="L386" s="530">
        <v>1012.6662501413978</v>
      </c>
      <c r="M386" s="530">
        <v>1065.472338537724</v>
      </c>
      <c r="N386" s="530">
        <v>1332.7956106544884</v>
      </c>
      <c r="O386" s="530">
        <v>1312.7715145969564</v>
      </c>
      <c r="P386" s="530">
        <v>927.00541445168903</v>
      </c>
      <c r="Q386" s="530">
        <v>872.56970356475472</v>
      </c>
      <c r="R386" s="530">
        <v>334.86008291297492</v>
      </c>
      <c r="S386" s="530">
        <v>88.251156918207556</v>
      </c>
      <c r="T386" s="530">
        <v>8662.463534276807</v>
      </c>
      <c r="U386" s="530" t="s">
        <v>61</v>
      </c>
    </row>
    <row r="387" spans="1:21" ht="13.8" x14ac:dyDescent="0.3">
      <c r="A387" s="530" t="str">
        <f t="shared" si="10"/>
        <v>Conwy.2018.Visitor Days.SFR</v>
      </c>
      <c r="B387" s="530" t="s">
        <v>219</v>
      </c>
      <c r="C387" s="530" t="str">
        <f t="shared" si="11"/>
        <v>2018.Visitor Days.SFR</v>
      </c>
      <c r="D387" s="530" t="s">
        <v>238</v>
      </c>
      <c r="E387" s="530" t="s">
        <v>171</v>
      </c>
      <c r="F387" s="530" t="s">
        <v>18</v>
      </c>
      <c r="G387" s="530" t="s">
        <v>18</v>
      </c>
      <c r="H387" s="530">
        <v>59.759488636363635</v>
      </c>
      <c r="I387" s="530">
        <v>20.079188181818179</v>
      </c>
      <c r="J387" s="530">
        <v>22.841404545454544</v>
      </c>
      <c r="K387" s="530">
        <v>54.50065363636363</v>
      </c>
      <c r="L387" s="530">
        <v>35.058900000000001</v>
      </c>
      <c r="M387" s="530">
        <v>27.006508104545453</v>
      </c>
      <c r="N387" s="530">
        <v>43.823625</v>
      </c>
      <c r="O387" s="530">
        <v>46.391423827272725</v>
      </c>
      <c r="P387" s="530">
        <v>23.89534944681818</v>
      </c>
      <c r="Q387" s="530">
        <v>23.871923727272726</v>
      </c>
      <c r="R387" s="530">
        <v>18.60113682954545</v>
      </c>
      <c r="S387" s="530">
        <v>53.863219090909091</v>
      </c>
      <c r="T387" s="530">
        <v>429.69282102636356</v>
      </c>
      <c r="U387" s="530" t="s">
        <v>61</v>
      </c>
    </row>
    <row r="388" spans="1:21" ht="13.8" x14ac:dyDescent="0.3">
      <c r="A388" s="530" t="str">
        <f t="shared" si="10"/>
        <v>Conwy.2018.Visitor Days.Day Visitor</v>
      </c>
      <c r="B388" s="530" t="s">
        <v>219</v>
      </c>
      <c r="C388" s="530" t="str">
        <f t="shared" si="11"/>
        <v>2018.Visitor Days.Day Visitor</v>
      </c>
      <c r="D388" s="530" t="s">
        <v>238</v>
      </c>
      <c r="E388" s="530" t="s">
        <v>171</v>
      </c>
      <c r="F388" s="530" t="s">
        <v>71</v>
      </c>
      <c r="G388" s="530" t="s">
        <v>71</v>
      </c>
      <c r="H388" s="530">
        <v>62.611147108027403</v>
      </c>
      <c r="I388" s="530">
        <v>330.6761052426956</v>
      </c>
      <c r="J388" s="530">
        <v>241.44606199819702</v>
      </c>
      <c r="K388" s="530">
        <v>753.27277305818632</v>
      </c>
      <c r="L388" s="530">
        <v>836.08508802752465</v>
      </c>
      <c r="M388" s="530">
        <v>847.86858129758559</v>
      </c>
      <c r="N388" s="530">
        <v>1127.1622825227485</v>
      </c>
      <c r="O388" s="530">
        <v>1364.1521821717413</v>
      </c>
      <c r="P388" s="530">
        <v>803.05379748986434</v>
      </c>
      <c r="Q388" s="530">
        <v>378.25277860644042</v>
      </c>
      <c r="R388" s="530">
        <v>126.15265028523559</v>
      </c>
      <c r="S388" s="530">
        <v>43.118292152804308</v>
      </c>
      <c r="T388" s="530">
        <v>6913.851739961051</v>
      </c>
      <c r="U388" s="530" t="s">
        <v>61</v>
      </c>
    </row>
    <row r="389" spans="1:21" ht="13.8" x14ac:dyDescent="0.3">
      <c r="A389" s="530" t="str">
        <f t="shared" si="10"/>
        <v>Conwy.2018.Visitor Days.Total</v>
      </c>
      <c r="B389" s="530" t="s">
        <v>219</v>
      </c>
      <c r="C389" s="530" t="str">
        <f t="shared" si="11"/>
        <v>2018.Visitor Days.Total</v>
      </c>
      <c r="D389" s="530" t="s">
        <v>238</v>
      </c>
      <c r="E389" s="530" t="s">
        <v>171</v>
      </c>
      <c r="F389" s="530" t="s">
        <v>54</v>
      </c>
      <c r="G389" s="530" t="s">
        <v>54</v>
      </c>
      <c r="H389" s="530">
        <v>283.53026184451227</v>
      </c>
      <c r="I389" s="530">
        <v>575.27789352146692</v>
      </c>
      <c r="J389" s="530">
        <v>1047.4579139084949</v>
      </c>
      <c r="K389" s="530">
        <v>1859.7545889983612</v>
      </c>
      <c r="L389" s="530">
        <v>2097.811351855009</v>
      </c>
      <c r="M389" s="530">
        <v>2111.3429221951219</v>
      </c>
      <c r="N389" s="530">
        <v>2672.7078534659568</v>
      </c>
      <c r="O389" s="530">
        <v>2909.4672539888438</v>
      </c>
      <c r="P389" s="530">
        <v>1920.6665640363146</v>
      </c>
      <c r="Q389" s="530">
        <v>1394.2050041683046</v>
      </c>
      <c r="R389" s="530">
        <v>628.87210860059758</v>
      </c>
      <c r="S389" s="530">
        <v>306.61695739023486</v>
      </c>
      <c r="T389" s="530">
        <v>17807.710673973215</v>
      </c>
      <c r="U389" s="530" t="s">
        <v>61</v>
      </c>
    </row>
    <row r="390" spans="1:21" ht="13.8" x14ac:dyDescent="0.3">
      <c r="A390" s="530" t="str">
        <f t="shared" si="10"/>
        <v>Conwy.2018.Visitor Numbers.Serviced Accommodation</v>
      </c>
      <c r="B390" s="530" t="s">
        <v>219</v>
      </c>
      <c r="C390" s="530" t="str">
        <f t="shared" si="11"/>
        <v>2018.Visitor Numbers.Serviced Accommodation</v>
      </c>
      <c r="D390" s="530" t="s">
        <v>238</v>
      </c>
      <c r="E390" s="530" t="s">
        <v>172</v>
      </c>
      <c r="F390" s="530" t="s">
        <v>43</v>
      </c>
      <c r="G390" s="530" t="s">
        <v>43</v>
      </c>
      <c r="H390" s="530">
        <v>69.644280942622117</v>
      </c>
      <c r="I390" s="530">
        <v>94.394834175427349</v>
      </c>
      <c r="J390" s="530">
        <v>54.172959094414587</v>
      </c>
      <c r="K390" s="530">
        <v>80.397084013022962</v>
      </c>
      <c r="L390" s="530">
        <v>113.2347018416837</v>
      </c>
      <c r="M390" s="530">
        <v>95.896114039162114</v>
      </c>
      <c r="N390" s="530">
        <v>94.94798289902873</v>
      </c>
      <c r="O390" s="530">
        <v>103.52038572731729</v>
      </c>
      <c r="P390" s="530">
        <v>83.940686769906762</v>
      </c>
      <c r="Q390" s="530">
        <v>69.370811927521615</v>
      </c>
      <c r="R390" s="530">
        <v>86.203585881556052</v>
      </c>
      <c r="S390" s="530">
        <v>74.177273296268481</v>
      </c>
      <c r="T390" s="530">
        <v>1019.9007006079316</v>
      </c>
      <c r="U390" s="530" t="s">
        <v>61</v>
      </c>
    </row>
    <row r="391" spans="1:21" ht="13.8" x14ac:dyDescent="0.3">
      <c r="A391" s="530" t="str">
        <f t="shared" si="10"/>
        <v>Conwy.2018.Visitor Numbers.Non-Serviced Accommodation</v>
      </c>
      <c r="B391" s="530" t="s">
        <v>219</v>
      </c>
      <c r="C391" s="530" t="str">
        <f t="shared" si="11"/>
        <v>2018.Visitor Numbers.Non-Serviced Accommodation</v>
      </c>
      <c r="D391" s="530" t="s">
        <v>238</v>
      </c>
      <c r="E391" s="530" t="s">
        <v>172</v>
      </c>
      <c r="F391" s="530" t="s">
        <v>48</v>
      </c>
      <c r="G391" s="530" t="s">
        <v>48</v>
      </c>
      <c r="H391" s="530">
        <v>16.169405404537663</v>
      </c>
      <c r="I391" s="530">
        <v>21.110461297786244</v>
      </c>
      <c r="J391" s="530">
        <v>139.84576392137782</v>
      </c>
      <c r="K391" s="530">
        <v>141.46780814209779</v>
      </c>
      <c r="L391" s="530">
        <v>146.76322465817356</v>
      </c>
      <c r="M391" s="530">
        <v>152.2103340768177</v>
      </c>
      <c r="N391" s="530">
        <v>187.71769164147724</v>
      </c>
      <c r="O391" s="530">
        <v>172.73309402591534</v>
      </c>
      <c r="P391" s="530">
        <v>134.34861079009988</v>
      </c>
      <c r="Q391" s="530">
        <v>124.65281479496497</v>
      </c>
      <c r="R391" s="530">
        <v>74.413351758438864</v>
      </c>
      <c r="S391" s="530">
        <v>15.759135163965635</v>
      </c>
      <c r="T391" s="530">
        <v>1327.1916956756527</v>
      </c>
      <c r="U391" s="530" t="s">
        <v>61</v>
      </c>
    </row>
    <row r="392" spans="1:21" ht="13.8" x14ac:dyDescent="0.3">
      <c r="A392" s="530" t="str">
        <f t="shared" si="10"/>
        <v>Conwy.2018.Visitor Numbers.SFR</v>
      </c>
      <c r="B392" s="530" t="s">
        <v>219</v>
      </c>
      <c r="C392" s="530" t="str">
        <f t="shared" si="11"/>
        <v>2018.Visitor Numbers.SFR</v>
      </c>
      <c r="D392" s="530" t="s">
        <v>238</v>
      </c>
      <c r="E392" s="530" t="s">
        <v>172</v>
      </c>
      <c r="F392" s="530" t="s">
        <v>18</v>
      </c>
      <c r="G392" s="530" t="s">
        <v>18</v>
      </c>
      <c r="H392" s="530">
        <v>23.903795454545453</v>
      </c>
      <c r="I392" s="530">
        <v>9.5615181818181796</v>
      </c>
      <c r="J392" s="530">
        <v>10.623909090909091</v>
      </c>
      <c r="K392" s="530">
        <v>20.185427272727271</v>
      </c>
      <c r="L392" s="530">
        <v>15.935863636363635</v>
      </c>
      <c r="M392" s="530">
        <v>12.860241954545453</v>
      </c>
      <c r="N392" s="530">
        <v>17.529450000000001</v>
      </c>
      <c r="O392" s="530">
        <v>17.842855318181815</v>
      </c>
      <c r="P392" s="530">
        <v>11.011681772727272</v>
      </c>
      <c r="Q392" s="530">
        <v>11.155104545454545</v>
      </c>
      <c r="R392" s="530">
        <v>9.1631215909090891</v>
      </c>
      <c r="S392" s="530">
        <v>20.716622727272725</v>
      </c>
      <c r="T392" s="530">
        <v>180.48959154545454</v>
      </c>
      <c r="U392" s="530" t="s">
        <v>61</v>
      </c>
    </row>
    <row r="393" spans="1:21" ht="13.8" x14ac:dyDescent="0.3">
      <c r="A393" s="530" t="str">
        <f t="shared" ref="A393:A456" si="12">B393&amp;"."&amp;D393&amp;"."&amp;E393&amp;"."&amp;F393</f>
        <v>Conwy.2018.Visitor Numbers.Day Visitor</v>
      </c>
      <c r="B393" s="530" t="s">
        <v>219</v>
      </c>
      <c r="C393" s="530" t="str">
        <f t="shared" ref="C393:C456" si="13">D393&amp;"."&amp;E393&amp;"."&amp;F393</f>
        <v>2018.Visitor Numbers.Day Visitor</v>
      </c>
      <c r="D393" s="530" t="s">
        <v>238</v>
      </c>
      <c r="E393" s="530" t="s">
        <v>172</v>
      </c>
      <c r="F393" s="530" t="s">
        <v>71</v>
      </c>
      <c r="G393" s="530" t="s">
        <v>71</v>
      </c>
      <c r="H393" s="530">
        <v>62.611147108027403</v>
      </c>
      <c r="I393" s="530">
        <v>330.6761052426956</v>
      </c>
      <c r="J393" s="530">
        <v>241.44606199819702</v>
      </c>
      <c r="K393" s="530">
        <v>753.27277305818632</v>
      </c>
      <c r="L393" s="530">
        <v>836.08508802752465</v>
      </c>
      <c r="M393" s="530">
        <v>847.86858129758559</v>
      </c>
      <c r="N393" s="530">
        <v>1127.1622825227485</v>
      </c>
      <c r="O393" s="530">
        <v>1364.1521821717413</v>
      </c>
      <c r="P393" s="530">
        <v>803.05379748986434</v>
      </c>
      <c r="Q393" s="530">
        <v>378.25277860644042</v>
      </c>
      <c r="R393" s="530">
        <v>126.15265028523559</v>
      </c>
      <c r="S393" s="530">
        <v>43.118292152804308</v>
      </c>
      <c r="T393" s="530">
        <v>6913.851739961051</v>
      </c>
      <c r="U393" s="530" t="s">
        <v>61</v>
      </c>
    </row>
    <row r="394" spans="1:21" ht="13.8" x14ac:dyDescent="0.3">
      <c r="A394" s="530" t="str">
        <f t="shared" si="12"/>
        <v>Conwy.2018.Visitor Numbers.Total</v>
      </c>
      <c r="B394" s="530" t="s">
        <v>219</v>
      </c>
      <c r="C394" s="530" t="str">
        <f t="shared" si="13"/>
        <v>2018.Visitor Numbers.Total</v>
      </c>
      <c r="D394" s="530" t="s">
        <v>238</v>
      </c>
      <c r="E394" s="530" t="s">
        <v>172</v>
      </c>
      <c r="F394" s="530" t="s">
        <v>54</v>
      </c>
      <c r="G394" s="530" t="s">
        <v>54</v>
      </c>
      <c r="H394" s="530">
        <v>172.32862890973263</v>
      </c>
      <c r="I394" s="530">
        <v>455.74291889772735</v>
      </c>
      <c r="J394" s="530">
        <v>446.08869410489854</v>
      </c>
      <c r="K394" s="530">
        <v>995.32309248603428</v>
      </c>
      <c r="L394" s="530">
        <v>1112.0188781637455</v>
      </c>
      <c r="M394" s="530">
        <v>1108.8352713681109</v>
      </c>
      <c r="N394" s="530">
        <v>1427.3574070632544</v>
      </c>
      <c r="O394" s="530">
        <v>1658.2485172431557</v>
      </c>
      <c r="P394" s="530">
        <v>1032.3547768225983</v>
      </c>
      <c r="Q394" s="530">
        <v>583.43150987438162</v>
      </c>
      <c r="R394" s="530">
        <v>295.9327095161396</v>
      </c>
      <c r="S394" s="530">
        <v>153.77132334031114</v>
      </c>
      <c r="T394" s="530">
        <v>9441.4337277900886</v>
      </c>
      <c r="U394" s="530" t="s">
        <v>61</v>
      </c>
    </row>
    <row r="395" spans="1:21" ht="13.8" x14ac:dyDescent="0.3">
      <c r="A395" s="530" t="str">
        <f t="shared" si="12"/>
        <v>Conwy.2018.Vehicle Days.Serviced Accommodation</v>
      </c>
      <c r="B395" s="530" t="s">
        <v>219</v>
      </c>
      <c r="C395" s="530" t="str">
        <f t="shared" si="13"/>
        <v>2018.Vehicle Days.Serviced Accommodation</v>
      </c>
      <c r="D395" s="530" t="s">
        <v>238</v>
      </c>
      <c r="E395" s="530" t="s">
        <v>21</v>
      </c>
      <c r="F395" s="530" t="s">
        <v>43</v>
      </c>
      <c r="G395" s="530" t="s">
        <v>43</v>
      </c>
      <c r="H395" s="530">
        <v>27.247241200941964</v>
      </c>
      <c r="I395" s="530">
        <v>47.596969080763863</v>
      </c>
      <c r="J395" s="530">
        <v>39.75993416427437</v>
      </c>
      <c r="K395" s="530">
        <v>38.026414191228547</v>
      </c>
      <c r="L395" s="530">
        <v>59.360582951709603</v>
      </c>
      <c r="M395" s="530">
        <v>47.359690826149901</v>
      </c>
      <c r="N395" s="530">
        <v>43.730246974586166</v>
      </c>
      <c r="O395" s="530">
        <v>48.252720608797631</v>
      </c>
      <c r="P395" s="530">
        <v>43.205969207055531</v>
      </c>
      <c r="Q395" s="530">
        <v>36.933726186377335</v>
      </c>
      <c r="R395" s="530">
        <v>47.071418453672024</v>
      </c>
      <c r="S395" s="530">
        <v>31.493634577726336</v>
      </c>
      <c r="T395" s="530">
        <v>510.03854842328326</v>
      </c>
      <c r="U395" s="530" t="s">
        <v>61</v>
      </c>
    </row>
    <row r="396" spans="1:21" ht="13.8" x14ac:dyDescent="0.3">
      <c r="A396" s="530" t="str">
        <f t="shared" si="12"/>
        <v>Conwy.2018.Vehicle Days.Non-Serviced Accommodation</v>
      </c>
      <c r="B396" s="530" t="s">
        <v>219</v>
      </c>
      <c r="C396" s="530" t="str">
        <f t="shared" si="13"/>
        <v>2018.Vehicle Days.Non-Serviced Accommodation</v>
      </c>
      <c r="D396" s="530" t="s">
        <v>238</v>
      </c>
      <c r="E396" s="530" t="s">
        <v>21</v>
      </c>
      <c r="F396" s="530" t="s">
        <v>48</v>
      </c>
      <c r="G396" s="530" t="s">
        <v>48</v>
      </c>
      <c r="H396" s="530">
        <v>15.281675158249051</v>
      </c>
      <c r="I396" s="530">
        <v>29.234364063692816</v>
      </c>
      <c r="J396" s="530">
        <v>175.78735892300975</v>
      </c>
      <c r="K396" s="530">
        <v>231.33308510869171</v>
      </c>
      <c r="L396" s="530">
        <v>261.81272528299519</v>
      </c>
      <c r="M396" s="530">
        <v>280.72730577391548</v>
      </c>
      <c r="N396" s="530">
        <v>338.99169196080891</v>
      </c>
      <c r="O396" s="530">
        <v>324.31431057018705</v>
      </c>
      <c r="P396" s="530">
        <v>237.31144135735775</v>
      </c>
      <c r="Q396" s="530">
        <v>219.78239977721785</v>
      </c>
      <c r="R396" s="530">
        <v>86.413503168842027</v>
      </c>
      <c r="S396" s="530">
        <v>19.974852455878104</v>
      </c>
      <c r="T396" s="530">
        <v>2220.9647136008457</v>
      </c>
      <c r="U396" s="530" t="s">
        <v>61</v>
      </c>
    </row>
    <row r="397" spans="1:21" ht="13.8" x14ac:dyDescent="0.3">
      <c r="A397" s="530" t="str">
        <f t="shared" si="12"/>
        <v>Conwy.2018.Vehicle Days.SFR</v>
      </c>
      <c r="B397" s="530" t="s">
        <v>219</v>
      </c>
      <c r="C397" s="530" t="str">
        <f t="shared" si="13"/>
        <v>2018.Vehicle Days.SFR</v>
      </c>
      <c r="D397" s="530" t="s">
        <v>238</v>
      </c>
      <c r="E397" s="530" t="s">
        <v>21</v>
      </c>
      <c r="F397" s="530" t="s">
        <v>18</v>
      </c>
      <c r="G397" s="530" t="s">
        <v>18</v>
      </c>
      <c r="H397" s="530">
        <v>18.724639772727269</v>
      </c>
      <c r="I397" s="530">
        <v>6.2914789636363624</v>
      </c>
      <c r="J397" s="530">
        <v>7.1569734242424232</v>
      </c>
      <c r="K397" s="530">
        <v>17.076871472727269</v>
      </c>
      <c r="L397" s="530">
        <v>10.985122</v>
      </c>
      <c r="M397" s="530">
        <v>8.4620392060909086</v>
      </c>
      <c r="N397" s="530">
        <v>13.7314025</v>
      </c>
      <c r="O397" s="530">
        <v>14.535979465878786</v>
      </c>
      <c r="P397" s="530">
        <v>7.4872094933363629</v>
      </c>
      <c r="Q397" s="530">
        <v>7.4798694345454537</v>
      </c>
      <c r="R397" s="530">
        <v>5.8283562065909074</v>
      </c>
      <c r="S397" s="530">
        <v>16.87714198181818</v>
      </c>
      <c r="T397" s="530">
        <v>134.63708392159393</v>
      </c>
      <c r="U397" s="530" t="s">
        <v>61</v>
      </c>
    </row>
    <row r="398" spans="1:21" ht="13.8" x14ac:dyDescent="0.3">
      <c r="A398" s="530" t="str">
        <f t="shared" si="12"/>
        <v>Conwy.2018.Vehicle Days.Day Visitor</v>
      </c>
      <c r="B398" s="530" t="s">
        <v>219</v>
      </c>
      <c r="C398" s="530" t="str">
        <f t="shared" si="13"/>
        <v>2018.Vehicle Days.Day Visitor</v>
      </c>
      <c r="D398" s="530" t="s">
        <v>238</v>
      </c>
      <c r="E398" s="530" t="s">
        <v>21</v>
      </c>
      <c r="F398" s="530" t="s">
        <v>71</v>
      </c>
      <c r="G398" s="530" t="s">
        <v>71</v>
      </c>
      <c r="H398" s="530">
        <v>13.774452363766029</v>
      </c>
      <c r="I398" s="530">
        <v>83.141420746734894</v>
      </c>
      <c r="J398" s="530">
        <v>60.706438445260964</v>
      </c>
      <c r="K398" s="530">
        <v>165.72001007280099</v>
      </c>
      <c r="L398" s="530">
        <v>183.93871936605544</v>
      </c>
      <c r="M398" s="530">
        <v>213.17838615482151</v>
      </c>
      <c r="N398" s="530">
        <v>247.97570215500465</v>
      </c>
      <c r="O398" s="530">
        <v>300.11348007778309</v>
      </c>
      <c r="P398" s="530">
        <v>176.67183544777015</v>
      </c>
      <c r="Q398" s="530">
        <v>95.103555763905021</v>
      </c>
      <c r="R398" s="530">
        <v>31.718380643144947</v>
      </c>
      <c r="S398" s="530">
        <v>9.4860242736169482</v>
      </c>
      <c r="T398" s="530">
        <v>1581.5284055106645</v>
      </c>
      <c r="U398" s="530" t="s">
        <v>61</v>
      </c>
    </row>
    <row r="399" spans="1:21" ht="13.8" x14ac:dyDescent="0.3">
      <c r="A399" s="530" t="str">
        <f t="shared" si="12"/>
        <v>Conwy.2018.Vehicle Days.Total</v>
      </c>
      <c r="B399" s="530" t="s">
        <v>219</v>
      </c>
      <c r="C399" s="530" t="str">
        <f t="shared" si="13"/>
        <v>2018.Vehicle Days.Total</v>
      </c>
      <c r="D399" s="530" t="s">
        <v>238</v>
      </c>
      <c r="E399" s="530" t="s">
        <v>21</v>
      </c>
      <c r="F399" s="530" t="s">
        <v>54</v>
      </c>
      <c r="G399" s="530" t="s">
        <v>54</v>
      </c>
      <c r="H399" s="530">
        <v>75.028008495684318</v>
      </c>
      <c r="I399" s="530">
        <v>166.26423285482792</v>
      </c>
      <c r="J399" s="530">
        <v>283.41070495678753</v>
      </c>
      <c r="K399" s="530">
        <v>452.15638084544844</v>
      </c>
      <c r="L399" s="530">
        <v>516.09714960076019</v>
      </c>
      <c r="M399" s="530">
        <v>549.72742196097784</v>
      </c>
      <c r="N399" s="530">
        <v>644.42904359039971</v>
      </c>
      <c r="O399" s="530">
        <v>687.21649072264654</v>
      </c>
      <c r="P399" s="530">
        <v>464.67645550551981</v>
      </c>
      <c r="Q399" s="530">
        <v>359.29955116204565</v>
      </c>
      <c r="R399" s="530">
        <v>171.03165847224989</v>
      </c>
      <c r="S399" s="530">
        <v>77.831653289039565</v>
      </c>
      <c r="T399" s="530">
        <v>4447.1687514563864</v>
      </c>
      <c r="U399" s="530" t="s">
        <v>61</v>
      </c>
    </row>
    <row r="400" spans="1:21" ht="13.8" x14ac:dyDescent="0.3">
      <c r="A400" s="530" t="str">
        <f t="shared" si="12"/>
        <v>Conwy.2018.Vehicle Numbers.Serviced Accommodation</v>
      </c>
      <c r="B400" s="530" t="s">
        <v>219</v>
      </c>
      <c r="C400" s="530" t="str">
        <f t="shared" si="13"/>
        <v>2018.Vehicle Numbers.Serviced Accommodation</v>
      </c>
      <c r="D400" s="530" t="s">
        <v>238</v>
      </c>
      <c r="E400" s="530" t="s">
        <v>22</v>
      </c>
      <c r="F400" s="530" t="s">
        <v>43</v>
      </c>
      <c r="G400" s="530" t="s">
        <v>43</v>
      </c>
      <c r="H400" s="530">
        <v>17.809540375350526</v>
      </c>
      <c r="I400" s="530">
        <v>32.062895468967774</v>
      </c>
      <c r="J400" s="530">
        <v>19.248014210397997</v>
      </c>
      <c r="K400" s="530">
        <v>20.855322254879514</v>
      </c>
      <c r="L400" s="530">
        <v>31.374580028727305</v>
      </c>
      <c r="M400" s="530">
        <v>26.55228907773958</v>
      </c>
      <c r="N400" s="530">
        <v>24.580586553480202</v>
      </c>
      <c r="O400" s="530">
        <v>26.83801919786594</v>
      </c>
      <c r="P400" s="530">
        <v>21.755002819470938</v>
      </c>
      <c r="Q400" s="530">
        <v>21.465983936774222</v>
      </c>
      <c r="R400" s="530">
        <v>26.806099045928544</v>
      </c>
      <c r="S400" s="530">
        <v>19.249268489454646</v>
      </c>
      <c r="T400" s="530">
        <v>288.59760145903721</v>
      </c>
      <c r="U400" s="530" t="s">
        <v>61</v>
      </c>
    </row>
    <row r="401" spans="1:21" ht="13.8" x14ac:dyDescent="0.3">
      <c r="A401" s="530" t="str">
        <f t="shared" si="12"/>
        <v>Conwy.2018.Vehicle Numbers.Non-Serviced Accommodation</v>
      </c>
      <c r="B401" s="530" t="s">
        <v>219</v>
      </c>
      <c r="C401" s="530" t="str">
        <f t="shared" si="13"/>
        <v>2018.Vehicle Numbers.Non-Serviced Accommodation</v>
      </c>
      <c r="D401" s="530" t="s">
        <v>238</v>
      </c>
      <c r="E401" s="530" t="s">
        <v>22</v>
      </c>
      <c r="F401" s="530" t="s">
        <v>48</v>
      </c>
      <c r="G401" s="530" t="s">
        <v>48</v>
      </c>
      <c r="H401" s="530">
        <v>4.4946103406614855</v>
      </c>
      <c r="I401" s="530">
        <v>7.3085910159232039</v>
      </c>
      <c r="J401" s="530">
        <v>36.622366442293703</v>
      </c>
      <c r="K401" s="530">
        <v>36.145794548233077</v>
      </c>
      <c r="L401" s="530">
        <v>37.943873229419587</v>
      </c>
      <c r="M401" s="530">
        <v>40.103900824845077</v>
      </c>
      <c r="N401" s="530">
        <v>47.745308726874498</v>
      </c>
      <c r="O401" s="530">
        <v>42.672935601340399</v>
      </c>
      <c r="P401" s="530">
        <v>34.392962515559098</v>
      </c>
      <c r="Q401" s="530">
        <v>31.397485682459692</v>
      </c>
      <c r="R401" s="530">
        <v>19.203000704187119</v>
      </c>
      <c r="S401" s="530">
        <v>3.5669379385496613</v>
      </c>
      <c r="T401" s="530">
        <v>341.59776757034655</v>
      </c>
      <c r="U401" s="530" t="s">
        <v>61</v>
      </c>
    </row>
    <row r="402" spans="1:21" ht="13.8" x14ac:dyDescent="0.3">
      <c r="A402" s="530" t="str">
        <f t="shared" si="12"/>
        <v>Conwy.2018.Vehicle Numbers.SFR</v>
      </c>
      <c r="B402" s="530" t="s">
        <v>219</v>
      </c>
      <c r="C402" s="530" t="str">
        <f t="shared" si="13"/>
        <v>2018.Vehicle Numbers.SFR</v>
      </c>
      <c r="D402" s="530" t="s">
        <v>238</v>
      </c>
      <c r="E402" s="530" t="s">
        <v>22</v>
      </c>
      <c r="F402" s="530" t="s">
        <v>18</v>
      </c>
      <c r="G402" s="530" t="s">
        <v>18</v>
      </c>
      <c r="H402" s="530">
        <v>7.4898559090909078</v>
      </c>
      <c r="I402" s="530">
        <v>2.9959423636363627</v>
      </c>
      <c r="J402" s="530">
        <v>3.3288248484848482</v>
      </c>
      <c r="K402" s="530">
        <v>6.3247672121212117</v>
      </c>
      <c r="L402" s="530">
        <v>4.9932372727272716</v>
      </c>
      <c r="M402" s="530">
        <v>4.0295424790909085</v>
      </c>
      <c r="N402" s="530">
        <v>5.4925610000000002</v>
      </c>
      <c r="O402" s="530">
        <v>5.5907613330303016</v>
      </c>
      <c r="P402" s="530">
        <v>3.4503269554545448</v>
      </c>
      <c r="Q402" s="530">
        <v>3.4952660909090905</v>
      </c>
      <c r="R402" s="530">
        <v>2.8711114318181807</v>
      </c>
      <c r="S402" s="530">
        <v>6.491208454545454</v>
      </c>
      <c r="T402" s="530">
        <v>56.553405350909074</v>
      </c>
      <c r="U402" s="530" t="s">
        <v>61</v>
      </c>
    </row>
    <row r="403" spans="1:21" ht="13.8" x14ac:dyDescent="0.3">
      <c r="A403" s="530" t="str">
        <f t="shared" si="12"/>
        <v>Conwy.2018.Vehicle Numbers.Day Visitor</v>
      </c>
      <c r="B403" s="530" t="s">
        <v>219</v>
      </c>
      <c r="C403" s="530" t="str">
        <f t="shared" si="13"/>
        <v>2018.Vehicle Numbers.Day Visitor</v>
      </c>
      <c r="D403" s="530" t="s">
        <v>238</v>
      </c>
      <c r="E403" s="530" t="s">
        <v>22</v>
      </c>
      <c r="F403" s="530" t="s">
        <v>71</v>
      </c>
      <c r="G403" s="530" t="s">
        <v>71</v>
      </c>
      <c r="H403" s="530">
        <v>13.774452363766029</v>
      </c>
      <c r="I403" s="530">
        <v>83.141420746734894</v>
      </c>
      <c r="J403" s="530">
        <v>60.706438445260964</v>
      </c>
      <c r="K403" s="530">
        <v>165.72001007280099</v>
      </c>
      <c r="L403" s="530">
        <v>183.93871936605544</v>
      </c>
      <c r="M403" s="530">
        <v>213.17838615482151</v>
      </c>
      <c r="N403" s="530">
        <v>247.97570215500465</v>
      </c>
      <c r="O403" s="530">
        <v>300.11348007778309</v>
      </c>
      <c r="P403" s="530">
        <v>176.67183544777015</v>
      </c>
      <c r="Q403" s="530">
        <v>95.103555763905021</v>
      </c>
      <c r="R403" s="530">
        <v>31.718380643144947</v>
      </c>
      <c r="S403" s="530">
        <v>9.4860242736169482</v>
      </c>
      <c r="T403" s="530">
        <v>1581.5284055106645</v>
      </c>
      <c r="U403" s="530" t="s">
        <v>61</v>
      </c>
    </row>
    <row r="404" spans="1:21" ht="13.8" x14ac:dyDescent="0.3">
      <c r="A404" s="530" t="str">
        <f t="shared" si="12"/>
        <v>Conwy.2018.Vehicle Numbers.Total</v>
      </c>
      <c r="B404" s="530" t="s">
        <v>219</v>
      </c>
      <c r="C404" s="530" t="str">
        <f t="shared" si="13"/>
        <v>2018.Vehicle Numbers.Total</v>
      </c>
      <c r="D404" s="530" t="s">
        <v>238</v>
      </c>
      <c r="E404" s="530" t="s">
        <v>22</v>
      </c>
      <c r="F404" s="530" t="s">
        <v>54</v>
      </c>
      <c r="G404" s="530" t="s">
        <v>54</v>
      </c>
      <c r="H404" s="530">
        <v>43.568458988868947</v>
      </c>
      <c r="I404" s="530">
        <v>125.50884959526223</v>
      </c>
      <c r="J404" s="530">
        <v>119.90564394643752</v>
      </c>
      <c r="K404" s="530">
        <v>229.0458940880348</v>
      </c>
      <c r="L404" s="530">
        <v>258.25040989692957</v>
      </c>
      <c r="M404" s="530">
        <v>283.86411853649707</v>
      </c>
      <c r="N404" s="530">
        <v>325.79415843535935</v>
      </c>
      <c r="O404" s="530">
        <v>375.21519621001971</v>
      </c>
      <c r="P404" s="530">
        <v>236.27012773825473</v>
      </c>
      <c r="Q404" s="530">
        <v>151.46229147404802</v>
      </c>
      <c r="R404" s="530">
        <v>80.598591825078785</v>
      </c>
      <c r="S404" s="530">
        <v>38.793439156166713</v>
      </c>
      <c r="T404" s="530">
        <v>2268.2771798909575</v>
      </c>
      <c r="U404" s="530" t="s">
        <v>61</v>
      </c>
    </row>
    <row r="405" spans="1:21" ht="13.8" x14ac:dyDescent="0.3">
      <c r="A405" s="530" t="str">
        <f t="shared" si="12"/>
        <v>Conwy.2018.Accommodation.Serviced Accommodation</v>
      </c>
      <c r="B405" s="530" t="s">
        <v>219</v>
      </c>
      <c r="C405" s="530" t="str">
        <f t="shared" si="13"/>
        <v>2018.Accommodation.Serviced Accommodation</v>
      </c>
      <c r="D405" s="530" t="s">
        <v>238</v>
      </c>
      <c r="E405" s="530" t="s">
        <v>23</v>
      </c>
      <c r="F405" s="530" t="s">
        <v>43</v>
      </c>
      <c r="G405" s="530" t="s">
        <v>43</v>
      </c>
      <c r="H405" s="530">
        <v>7712</v>
      </c>
      <c r="I405" s="530">
        <v>8389</v>
      </c>
      <c r="J405" s="530">
        <v>8992</v>
      </c>
      <c r="K405" s="530">
        <v>9293</v>
      </c>
      <c r="L405" s="530">
        <v>9293</v>
      </c>
      <c r="M405" s="530">
        <v>9293</v>
      </c>
      <c r="N405" s="530">
        <v>9293</v>
      </c>
      <c r="O405" s="530">
        <v>9293</v>
      </c>
      <c r="P405" s="530">
        <v>9293</v>
      </c>
      <c r="Q405" s="530">
        <v>9236</v>
      </c>
      <c r="R405" s="530">
        <v>8953</v>
      </c>
      <c r="S405" s="530">
        <v>8382</v>
      </c>
      <c r="T405" s="530">
        <v>9293</v>
      </c>
      <c r="U405" s="530" t="s">
        <v>58</v>
      </c>
    </row>
    <row r="406" spans="1:21" ht="13.8" x14ac:dyDescent="0.3">
      <c r="A406" s="530" t="str">
        <f t="shared" si="12"/>
        <v>Conwy.2018.Accommodation.Non-Serviced Accommodation</v>
      </c>
      <c r="B406" s="530" t="s">
        <v>219</v>
      </c>
      <c r="C406" s="530" t="str">
        <f t="shared" si="13"/>
        <v>2018.Accommodation.Non-Serviced Accommodation</v>
      </c>
      <c r="D406" s="530" t="s">
        <v>238</v>
      </c>
      <c r="E406" s="530" t="s">
        <v>23</v>
      </c>
      <c r="F406" s="530" t="s">
        <v>48</v>
      </c>
      <c r="G406" s="530" t="s">
        <v>48</v>
      </c>
      <c r="H406" s="530">
        <v>6471.9880670611428</v>
      </c>
      <c r="I406" s="530">
        <v>6575.6537625847077</v>
      </c>
      <c r="J406" s="530">
        <v>42312.491850000595</v>
      </c>
      <c r="K406" s="530">
        <v>48789.408892989755</v>
      </c>
      <c r="L406" s="530">
        <v>48748.087691948458</v>
      </c>
      <c r="M406" s="530">
        <v>48677.976350420817</v>
      </c>
      <c r="N406" s="530">
        <v>48560.765199015113</v>
      </c>
      <c r="O406" s="530">
        <v>48525.464763960787</v>
      </c>
      <c r="P406" s="530">
        <v>49113.169776608869</v>
      </c>
      <c r="Q406" s="530">
        <v>49173.913126130836</v>
      </c>
      <c r="R406" s="530">
        <v>29694.463676985615</v>
      </c>
      <c r="S406" s="530">
        <v>9595.112331620021</v>
      </c>
      <c r="T406" s="530">
        <v>49173.913126130836</v>
      </c>
      <c r="U406" s="530" t="s">
        <v>58</v>
      </c>
    </row>
    <row r="407" spans="1:21" ht="13.8" x14ac:dyDescent="0.3">
      <c r="A407" s="530" t="str">
        <f t="shared" si="12"/>
        <v>Conwy.2018.Accommodation.Total</v>
      </c>
      <c r="B407" s="530" t="s">
        <v>219</v>
      </c>
      <c r="C407" s="530" t="str">
        <f t="shared" si="13"/>
        <v>2018.Accommodation.Total</v>
      </c>
      <c r="D407" s="530" t="s">
        <v>238</v>
      </c>
      <c r="E407" s="530" t="s">
        <v>23</v>
      </c>
      <c r="F407" s="530" t="s">
        <v>54</v>
      </c>
      <c r="G407" s="530" t="s">
        <v>54</v>
      </c>
      <c r="H407" s="530">
        <v>14183.988067061142</v>
      </c>
      <c r="I407" s="530">
        <v>14964.653762584709</v>
      </c>
      <c r="J407" s="530">
        <v>51304.491850000595</v>
      </c>
      <c r="K407" s="530">
        <v>58082.408892989755</v>
      </c>
      <c r="L407" s="530">
        <v>58041.087691948458</v>
      </c>
      <c r="M407" s="530">
        <v>57970.976350420817</v>
      </c>
      <c r="N407" s="530">
        <v>57853.765199015113</v>
      </c>
      <c r="O407" s="530">
        <v>57818.464763960787</v>
      </c>
      <c r="P407" s="530">
        <v>58406.169776608869</v>
      </c>
      <c r="Q407" s="530">
        <v>58409.913126130836</v>
      </c>
      <c r="R407" s="530">
        <v>38647.463676985615</v>
      </c>
      <c r="S407" s="530">
        <v>17977.112331620021</v>
      </c>
      <c r="T407" s="530">
        <v>58409.913126130836</v>
      </c>
      <c r="U407" s="530" t="s">
        <v>58</v>
      </c>
    </row>
    <row r="408" spans="1:21" ht="13.8" x14ac:dyDescent="0.3">
      <c r="A408" s="530" t="str">
        <f t="shared" si="12"/>
        <v>Conwy.2018.Economic Impact.Total</v>
      </c>
      <c r="B408" s="530" t="s">
        <v>219</v>
      </c>
      <c r="C408" s="530" t="str">
        <f t="shared" si="13"/>
        <v>2018.Economic Impact.Total</v>
      </c>
      <c r="D408" s="530" t="s">
        <v>238</v>
      </c>
      <c r="E408" s="530" t="s">
        <v>17</v>
      </c>
      <c r="F408" s="530" t="s">
        <v>54</v>
      </c>
      <c r="G408" s="530" t="s">
        <v>54</v>
      </c>
      <c r="H408" s="530">
        <v>18713.952232194588</v>
      </c>
      <c r="I408" s="530">
        <v>35180.735246886667</v>
      </c>
      <c r="J408" s="530">
        <v>53252.809177278541</v>
      </c>
      <c r="K408" s="530">
        <v>91995.497635253589</v>
      </c>
      <c r="L408" s="530">
        <v>105750.08864605674</v>
      </c>
      <c r="M408" s="530">
        <v>105360.79439956156</v>
      </c>
      <c r="N408" s="530">
        <v>138628.94405752508</v>
      </c>
      <c r="O408" s="530">
        <v>151270.38808242662</v>
      </c>
      <c r="P408" s="530">
        <v>105239.09639689259</v>
      </c>
      <c r="Q408" s="530">
        <v>69290.473404464778</v>
      </c>
      <c r="R408" s="530">
        <v>37234.236133914514</v>
      </c>
      <c r="S408" s="530">
        <v>22407.402662255619</v>
      </c>
      <c r="T408" s="530">
        <v>934324.41807471099</v>
      </c>
      <c r="U408" s="530" t="s">
        <v>57</v>
      </c>
    </row>
    <row r="409" spans="1:21" ht="13.8" x14ac:dyDescent="0.3">
      <c r="A409" s="530" t="str">
        <f t="shared" si="12"/>
        <v>Conwy.2019.Economic Impact.Indirect Expenditure</v>
      </c>
      <c r="B409" s="530" t="s">
        <v>219</v>
      </c>
      <c r="C409" s="530" t="str">
        <f t="shared" si="13"/>
        <v>2019.Economic Impact.Indirect Expenditure</v>
      </c>
      <c r="D409" s="530" t="s">
        <v>239</v>
      </c>
      <c r="E409" s="530" t="s">
        <v>17</v>
      </c>
      <c r="F409" s="530" t="s">
        <v>45</v>
      </c>
      <c r="G409" s="530" t="s">
        <v>45</v>
      </c>
      <c r="H409" s="530">
        <v>6273.6466844266306</v>
      </c>
      <c r="I409" s="530">
        <v>9291.5852758147375</v>
      </c>
      <c r="J409" s="530">
        <v>13705.584959564299</v>
      </c>
      <c r="K409" s="530">
        <v>26139.718195089532</v>
      </c>
      <c r="L409" s="530">
        <v>27918.775879209701</v>
      </c>
      <c r="M409" s="530">
        <v>26787.529731826042</v>
      </c>
      <c r="N409" s="530">
        <v>36736.954823637585</v>
      </c>
      <c r="O409" s="530">
        <v>40999.42307233969</v>
      </c>
      <c r="P409" s="530">
        <v>27731.888349340508</v>
      </c>
      <c r="Q409" s="530">
        <v>18947.27756377112</v>
      </c>
      <c r="R409" s="530">
        <v>10023.040636978754</v>
      </c>
      <c r="S409" s="530">
        <v>6423.7508888038865</v>
      </c>
      <c r="T409" s="530">
        <v>250979.17606080248</v>
      </c>
      <c r="U409" s="530" t="s">
        <v>57</v>
      </c>
    </row>
    <row r="410" spans="1:21" ht="13.8" x14ac:dyDescent="0.3">
      <c r="A410" s="530" t="str">
        <f t="shared" si="12"/>
        <v>Conwy.2019.Economic Impact.Direct Revenue</v>
      </c>
      <c r="B410" s="530" t="s">
        <v>219</v>
      </c>
      <c r="C410" s="530" t="str">
        <f t="shared" si="13"/>
        <v>2019.Economic Impact.Direct Revenue</v>
      </c>
      <c r="D410" s="530" t="s">
        <v>239</v>
      </c>
      <c r="E410" s="530" t="s">
        <v>17</v>
      </c>
      <c r="F410" s="530" t="s">
        <v>46</v>
      </c>
      <c r="G410" s="530" t="s">
        <v>46</v>
      </c>
      <c r="H410" s="530">
        <v>16433.93417949964</v>
      </c>
      <c r="I410" s="530">
        <v>23281.780553347387</v>
      </c>
      <c r="J410" s="530">
        <v>33972.811235229601</v>
      </c>
      <c r="K410" s="530">
        <v>64344.251090979764</v>
      </c>
      <c r="L410" s="530">
        <v>69411.177928020421</v>
      </c>
      <c r="M410" s="530">
        <v>66220.899017805219</v>
      </c>
      <c r="N410" s="530">
        <v>90368.992417953559</v>
      </c>
      <c r="O410" s="530">
        <v>100694.68595342297</v>
      </c>
      <c r="P410" s="530">
        <v>68628.623152326705</v>
      </c>
      <c r="Q410" s="530">
        <v>46400.592931203661</v>
      </c>
      <c r="R410" s="530">
        <v>25489.292702172716</v>
      </c>
      <c r="S410" s="530">
        <v>15756.636569809147</v>
      </c>
      <c r="T410" s="530">
        <v>621003.67773177091</v>
      </c>
      <c r="U410" s="530" t="s">
        <v>57</v>
      </c>
    </row>
    <row r="411" spans="1:21" ht="13.8" x14ac:dyDescent="0.3">
      <c r="A411" s="530" t="str">
        <f t="shared" si="12"/>
        <v>Conwy.2019.Economic Impact.VAT</v>
      </c>
      <c r="B411" s="530" t="s">
        <v>219</v>
      </c>
      <c r="C411" s="530" t="str">
        <f t="shared" si="13"/>
        <v>2019.Economic Impact.VAT</v>
      </c>
      <c r="D411" s="530" t="s">
        <v>239</v>
      </c>
      <c r="E411" s="530" t="s">
        <v>17</v>
      </c>
      <c r="F411" s="530" t="s">
        <v>47</v>
      </c>
      <c r="G411" s="530" t="s">
        <v>47</v>
      </c>
      <c r="H411" s="530">
        <v>3286.7868358999281</v>
      </c>
      <c r="I411" s="530">
        <v>4656.3561106694779</v>
      </c>
      <c r="J411" s="530">
        <v>6794.5622470459202</v>
      </c>
      <c r="K411" s="530">
        <v>12868.850218195952</v>
      </c>
      <c r="L411" s="530">
        <v>13882.235585604085</v>
      </c>
      <c r="M411" s="530">
        <v>13244.179803561045</v>
      </c>
      <c r="N411" s="530">
        <v>18073.798483590715</v>
      </c>
      <c r="O411" s="530">
        <v>20138.937190684592</v>
      </c>
      <c r="P411" s="530">
        <v>13725.724630465342</v>
      </c>
      <c r="Q411" s="530">
        <v>9280.1185862407328</v>
      </c>
      <c r="R411" s="530">
        <v>5097.8585404345431</v>
      </c>
      <c r="S411" s="530">
        <v>3151.3273139618295</v>
      </c>
      <c r="T411" s="530">
        <v>124200.73554635413</v>
      </c>
      <c r="U411" s="530" t="s">
        <v>57</v>
      </c>
    </row>
    <row r="412" spans="1:21" ht="13.8" x14ac:dyDescent="0.3">
      <c r="A412" s="530" t="str">
        <f t="shared" si="12"/>
        <v>Conwy.2019.Economic Impact.Serviced Accommodation</v>
      </c>
      <c r="B412" s="530" t="s">
        <v>219</v>
      </c>
      <c r="C412" s="530" t="str">
        <f t="shared" si="13"/>
        <v>2019.Economic Impact.Serviced Accommodation</v>
      </c>
      <c r="D412" s="530" t="s">
        <v>239</v>
      </c>
      <c r="E412" s="530" t="s">
        <v>17</v>
      </c>
      <c r="F412" s="530" t="s">
        <v>43</v>
      </c>
      <c r="G412" s="530" t="s">
        <v>43</v>
      </c>
      <c r="H412" s="530">
        <v>13868.489285142743</v>
      </c>
      <c r="I412" s="530">
        <v>11554.527883690542</v>
      </c>
      <c r="J412" s="530">
        <v>9294.2949789872364</v>
      </c>
      <c r="K412" s="530">
        <v>14141.14930712989</v>
      </c>
      <c r="L412" s="530">
        <v>20642.591574334321</v>
      </c>
      <c r="M412" s="530">
        <v>17092.08056771271</v>
      </c>
      <c r="N412" s="530">
        <v>21218.860354108208</v>
      </c>
      <c r="O412" s="530">
        <v>24719.714773123651</v>
      </c>
      <c r="P412" s="530">
        <v>21571.780899718837</v>
      </c>
      <c r="Q412" s="530">
        <v>11154.407389552169</v>
      </c>
      <c r="R412" s="530">
        <v>15073.139062002072</v>
      </c>
      <c r="S412" s="530">
        <v>10297.612538856283</v>
      </c>
      <c r="T412" s="530">
        <v>190628.64861435865</v>
      </c>
      <c r="U412" s="530" t="s">
        <v>57</v>
      </c>
    </row>
    <row r="413" spans="1:21" ht="13.8" x14ac:dyDescent="0.3">
      <c r="A413" s="530" t="str">
        <f t="shared" si="12"/>
        <v>Conwy.2019.Economic Impact.Non-Serviced Accommodation</v>
      </c>
      <c r="B413" s="530" t="s">
        <v>219</v>
      </c>
      <c r="C413" s="530" t="str">
        <f t="shared" si="13"/>
        <v>2019.Economic Impact.Non-Serviced Accommodation</v>
      </c>
      <c r="D413" s="530" t="s">
        <v>239</v>
      </c>
      <c r="E413" s="530" t="s">
        <v>17</v>
      </c>
      <c r="F413" s="530" t="s">
        <v>48</v>
      </c>
      <c r="G413" s="530" t="s">
        <v>48</v>
      </c>
      <c r="H413" s="530">
        <v>6660.7348685380348</v>
      </c>
      <c r="I413" s="530">
        <v>6481.534718440068</v>
      </c>
      <c r="J413" s="530">
        <v>31928.615758025415</v>
      </c>
      <c r="K413" s="530">
        <v>45471.183788878261</v>
      </c>
      <c r="L413" s="530">
        <v>47709.732712240671</v>
      </c>
      <c r="M413" s="530">
        <v>49807.599283013522</v>
      </c>
      <c r="N413" s="530">
        <v>65764.802171970237</v>
      </c>
      <c r="O413" s="530">
        <v>63995.554729419295</v>
      </c>
      <c r="P413" s="530">
        <v>49204.547957696595</v>
      </c>
      <c r="Q413" s="530">
        <v>42862.704322428945</v>
      </c>
      <c r="R413" s="530">
        <v>17821.40101123444</v>
      </c>
      <c r="S413" s="530">
        <v>10754.198555240322</v>
      </c>
      <c r="T413" s="530">
        <v>438462.60987712583</v>
      </c>
      <c r="U413" s="530" t="s">
        <v>57</v>
      </c>
    </row>
    <row r="414" spans="1:21" ht="13.8" x14ac:dyDescent="0.3">
      <c r="A414" s="530" t="str">
        <f t="shared" si="12"/>
        <v>Conwy.2019.Economic Impact.SFR</v>
      </c>
      <c r="B414" s="530" t="s">
        <v>219</v>
      </c>
      <c r="C414" s="530" t="str">
        <f t="shared" si="13"/>
        <v>2019.Economic Impact.SFR</v>
      </c>
      <c r="D414" s="530" t="s">
        <v>239</v>
      </c>
      <c r="E414" s="530" t="s">
        <v>17</v>
      </c>
      <c r="F414" s="530" t="s">
        <v>18</v>
      </c>
      <c r="G414" s="530" t="s">
        <v>18</v>
      </c>
      <c r="H414" s="530">
        <v>2099.9027783311594</v>
      </c>
      <c r="I414" s="530">
        <v>705.56733351926937</v>
      </c>
      <c r="J414" s="530">
        <v>802.62950638435427</v>
      </c>
      <c r="K414" s="530">
        <v>1915.1113338380173</v>
      </c>
      <c r="L414" s="530">
        <v>1231.9429632876136</v>
      </c>
      <c r="M414" s="530">
        <v>948.98806358341744</v>
      </c>
      <c r="N414" s="530">
        <v>1539.9287041095165</v>
      </c>
      <c r="O414" s="530">
        <v>1630.1591932690976</v>
      </c>
      <c r="P414" s="530">
        <v>839.66432507312629</v>
      </c>
      <c r="Q414" s="530">
        <v>838.84116318402016</v>
      </c>
      <c r="R414" s="530">
        <v>653.62973813521205</v>
      </c>
      <c r="S414" s="530">
        <v>1892.7123708691522</v>
      </c>
      <c r="T414" s="530">
        <v>15099.077473583957</v>
      </c>
      <c r="U414" s="530" t="s">
        <v>57</v>
      </c>
    </row>
    <row r="415" spans="1:21" ht="13.8" x14ac:dyDescent="0.3">
      <c r="A415" s="530" t="str">
        <f t="shared" si="12"/>
        <v>Conwy.2019.Economic Impact.Day Visitor</v>
      </c>
      <c r="B415" s="530" t="s">
        <v>219</v>
      </c>
      <c r="C415" s="530" t="str">
        <f t="shared" si="13"/>
        <v>2019.Economic Impact.Day Visitor</v>
      </c>
      <c r="D415" s="530" t="s">
        <v>239</v>
      </c>
      <c r="E415" s="530" t="s">
        <v>17</v>
      </c>
      <c r="F415" s="530" t="s">
        <v>71</v>
      </c>
      <c r="G415" s="530" t="s">
        <v>71</v>
      </c>
      <c r="H415" s="530">
        <v>3365.2407678142531</v>
      </c>
      <c r="I415" s="530">
        <v>18488.092004181723</v>
      </c>
      <c r="J415" s="530">
        <v>12447.418198442805</v>
      </c>
      <c r="K415" s="530">
        <v>41825.375074419069</v>
      </c>
      <c r="L415" s="530">
        <v>41627.922142971598</v>
      </c>
      <c r="M415" s="530">
        <v>38403.940638882646</v>
      </c>
      <c r="N415" s="530">
        <v>56656.154494993913</v>
      </c>
      <c r="O415" s="530">
        <v>71487.617520635205</v>
      </c>
      <c r="P415" s="530">
        <v>38470.242949643987</v>
      </c>
      <c r="Q415" s="530">
        <v>19772.036206050383</v>
      </c>
      <c r="R415" s="530">
        <v>7062.0220682142872</v>
      </c>
      <c r="S415" s="530">
        <v>2387.1913076091023</v>
      </c>
      <c r="T415" s="530">
        <v>351993.25337385893</v>
      </c>
      <c r="U415" s="530" t="s">
        <v>57</v>
      </c>
    </row>
    <row r="416" spans="1:21" ht="13.8" x14ac:dyDescent="0.3">
      <c r="A416" s="530" t="str">
        <f t="shared" si="12"/>
        <v>Conwy.2019.Economic Impact.Accommodation</v>
      </c>
      <c r="B416" s="530" t="s">
        <v>219</v>
      </c>
      <c r="C416" s="530" t="str">
        <f t="shared" si="13"/>
        <v>2019.Economic Impact.Accommodation</v>
      </c>
      <c r="D416" s="530" t="s">
        <v>239</v>
      </c>
      <c r="E416" s="530" t="s">
        <v>17</v>
      </c>
      <c r="F416" s="530" t="s">
        <v>23</v>
      </c>
      <c r="G416" s="530" t="s">
        <v>23</v>
      </c>
      <c r="H416" s="530">
        <v>7047.5759314789657</v>
      </c>
      <c r="I416" s="530">
        <v>5970.499032294344</v>
      </c>
      <c r="J416" s="530">
        <v>8141.5019954447507</v>
      </c>
      <c r="K416" s="530">
        <v>12057.213947403483</v>
      </c>
      <c r="L416" s="530">
        <v>14663.24706311445</v>
      </c>
      <c r="M416" s="530">
        <v>13418.577182168299</v>
      </c>
      <c r="N416" s="530">
        <v>20288.951260138572</v>
      </c>
      <c r="O416" s="530">
        <v>22031.497961718931</v>
      </c>
      <c r="P416" s="530">
        <v>19062.667429839938</v>
      </c>
      <c r="Q416" s="530">
        <v>10527.548932305812</v>
      </c>
      <c r="R416" s="530">
        <v>9270.774270232052</v>
      </c>
      <c r="S416" s="530">
        <v>7245.7879712255244</v>
      </c>
      <c r="T416" s="530">
        <v>149725.8429773651</v>
      </c>
      <c r="U416" s="530" t="s">
        <v>57</v>
      </c>
    </row>
    <row r="417" spans="1:21" ht="13.8" x14ac:dyDescent="0.3">
      <c r="A417" s="530" t="str">
        <f t="shared" si="12"/>
        <v>Conwy.2019.Economic Impact.Food &amp; Drink</v>
      </c>
      <c r="B417" s="530" t="s">
        <v>219</v>
      </c>
      <c r="C417" s="530" t="str">
        <f t="shared" si="13"/>
        <v>2019.Economic Impact.Food &amp; Drink</v>
      </c>
      <c r="D417" s="530" t="s">
        <v>239</v>
      </c>
      <c r="E417" s="530" t="s">
        <v>17</v>
      </c>
      <c r="F417" s="530" t="s">
        <v>49</v>
      </c>
      <c r="G417" s="530" t="s">
        <v>49</v>
      </c>
      <c r="H417" s="530">
        <v>2897.6945146440949</v>
      </c>
      <c r="I417" s="530">
        <v>4490.6225394265221</v>
      </c>
      <c r="J417" s="530">
        <v>8146.1356370493559</v>
      </c>
      <c r="K417" s="530">
        <v>15262.066696748432</v>
      </c>
      <c r="L417" s="530">
        <v>16294.435414301082</v>
      </c>
      <c r="M417" s="530">
        <v>15751.832305839423</v>
      </c>
      <c r="N417" s="530">
        <v>20700.240385145575</v>
      </c>
      <c r="O417" s="530">
        <v>22742.70400300049</v>
      </c>
      <c r="P417" s="530">
        <v>14830.067569116489</v>
      </c>
      <c r="Q417" s="530">
        <v>11322.699939273743</v>
      </c>
      <c r="R417" s="530">
        <v>5250.1311418900686</v>
      </c>
      <c r="S417" s="530">
        <v>2792.4978491736151</v>
      </c>
      <c r="T417" s="530">
        <v>140481.1279956089</v>
      </c>
      <c r="U417" s="530" t="s">
        <v>57</v>
      </c>
    </row>
    <row r="418" spans="1:21" ht="13.8" x14ac:dyDescent="0.3">
      <c r="A418" s="530" t="str">
        <f t="shared" si="12"/>
        <v>Conwy.2019.Economic Impact.Recreation</v>
      </c>
      <c r="B418" s="530" t="s">
        <v>219</v>
      </c>
      <c r="C418" s="530" t="str">
        <f t="shared" si="13"/>
        <v>2019.Economic Impact.Recreation</v>
      </c>
      <c r="D418" s="530" t="s">
        <v>239</v>
      </c>
      <c r="E418" s="530" t="s">
        <v>17</v>
      </c>
      <c r="F418" s="530" t="s">
        <v>50</v>
      </c>
      <c r="G418" s="530" t="s">
        <v>50</v>
      </c>
      <c r="H418" s="530">
        <v>933.23153702516856</v>
      </c>
      <c r="I418" s="530">
        <v>1406.9938198372568</v>
      </c>
      <c r="J418" s="530">
        <v>2792.223760520023</v>
      </c>
      <c r="K418" s="530">
        <v>5040.8807639772549</v>
      </c>
      <c r="L418" s="530">
        <v>5141.1306827089966</v>
      </c>
      <c r="M418" s="530">
        <v>5188.4519823107657</v>
      </c>
      <c r="N418" s="530">
        <v>6445.3926367929835</v>
      </c>
      <c r="O418" s="530">
        <v>6723.9586588252587</v>
      </c>
      <c r="P418" s="530">
        <v>4573.1125700729253</v>
      </c>
      <c r="Q418" s="530">
        <v>3666.1097321468856</v>
      </c>
      <c r="R418" s="530">
        <v>1625.8615801905473</v>
      </c>
      <c r="S418" s="530">
        <v>921.66463857982524</v>
      </c>
      <c r="T418" s="530">
        <v>44459.012362987887</v>
      </c>
      <c r="U418" s="530" t="s">
        <v>57</v>
      </c>
    </row>
    <row r="419" spans="1:21" ht="13.8" x14ac:dyDescent="0.3">
      <c r="A419" s="530" t="str">
        <f t="shared" si="12"/>
        <v>Conwy.2019.Economic Impact.Shopping</v>
      </c>
      <c r="B419" s="530" t="s">
        <v>219</v>
      </c>
      <c r="C419" s="530" t="str">
        <f t="shared" si="13"/>
        <v>2019.Economic Impact.Shopping</v>
      </c>
      <c r="D419" s="530" t="s">
        <v>239</v>
      </c>
      <c r="E419" s="530" t="s">
        <v>17</v>
      </c>
      <c r="F419" s="530" t="s">
        <v>51</v>
      </c>
      <c r="G419" s="530" t="s">
        <v>51</v>
      </c>
      <c r="H419" s="530">
        <v>4234.1390717556205</v>
      </c>
      <c r="I419" s="530">
        <v>9096.6028465441159</v>
      </c>
      <c r="J419" s="530">
        <v>11102.662503685551</v>
      </c>
      <c r="K419" s="530">
        <v>24588.517359557187</v>
      </c>
      <c r="L419" s="530">
        <v>25576.892621572755</v>
      </c>
      <c r="M419" s="530">
        <v>24304.910699784374</v>
      </c>
      <c r="N419" s="530">
        <v>33057.917762692377</v>
      </c>
      <c r="O419" s="530">
        <v>38336.790507298108</v>
      </c>
      <c r="P419" s="530">
        <v>23188.577622632234</v>
      </c>
      <c r="Q419" s="530">
        <v>15692.499394202581</v>
      </c>
      <c r="R419" s="530">
        <v>6978.1189848615095</v>
      </c>
      <c r="S419" s="530">
        <v>3570.0514794851501</v>
      </c>
      <c r="T419" s="530">
        <v>219727.68085407154</v>
      </c>
      <c r="U419" s="530" t="s">
        <v>57</v>
      </c>
    </row>
    <row r="420" spans="1:21" ht="13.8" x14ac:dyDescent="0.3">
      <c r="A420" s="530" t="str">
        <f t="shared" si="12"/>
        <v>Conwy.2019.Economic Impact.Transport</v>
      </c>
      <c r="B420" s="530" t="s">
        <v>219</v>
      </c>
      <c r="C420" s="530" t="str">
        <f t="shared" si="13"/>
        <v>2019.Economic Impact.Transport</v>
      </c>
      <c r="D420" s="530" t="s">
        <v>239</v>
      </c>
      <c r="E420" s="530" t="s">
        <v>17</v>
      </c>
      <c r="F420" s="530" t="s">
        <v>52</v>
      </c>
      <c r="G420" s="530" t="s">
        <v>52</v>
      </c>
      <c r="H420" s="530">
        <v>1321.2931245957882</v>
      </c>
      <c r="I420" s="530">
        <v>2317.0623152451503</v>
      </c>
      <c r="J420" s="530">
        <v>3790.2873385299172</v>
      </c>
      <c r="K420" s="530">
        <v>7395.5723232934015</v>
      </c>
      <c r="L420" s="530">
        <v>7735.4721463231408</v>
      </c>
      <c r="M420" s="530">
        <v>7557.1268477023586</v>
      </c>
      <c r="N420" s="530">
        <v>9876.4903731840677</v>
      </c>
      <c r="O420" s="530">
        <v>10859.734822580185</v>
      </c>
      <c r="P420" s="530">
        <v>6974.1979606651148</v>
      </c>
      <c r="Q420" s="530">
        <v>5191.7349332746417</v>
      </c>
      <c r="R420" s="530">
        <v>2364.4067249985378</v>
      </c>
      <c r="S420" s="530">
        <v>1226.6346313450315</v>
      </c>
      <c r="T420" s="530">
        <v>66610.013541737339</v>
      </c>
      <c r="U420" s="530" t="s">
        <v>57</v>
      </c>
    </row>
    <row r="421" spans="1:21" ht="13.8" x14ac:dyDescent="0.3">
      <c r="A421" s="530" t="str">
        <f t="shared" si="12"/>
        <v>Conwy.2019.Economic Impact.Direct Expenditure</v>
      </c>
      <c r="B421" s="530" t="s">
        <v>219</v>
      </c>
      <c r="C421" s="530" t="str">
        <f t="shared" si="13"/>
        <v>2019.Economic Impact.Direct Expenditure</v>
      </c>
      <c r="D421" s="530" t="s">
        <v>239</v>
      </c>
      <c r="E421" s="530" t="s">
        <v>17</v>
      </c>
      <c r="F421" s="530" t="s">
        <v>44</v>
      </c>
      <c r="G421" s="530" t="s">
        <v>44</v>
      </c>
      <c r="H421" s="530">
        <v>19720.721015399562</v>
      </c>
      <c r="I421" s="530">
        <v>27938.136664016864</v>
      </c>
      <c r="J421" s="530">
        <v>40767.373482275507</v>
      </c>
      <c r="K421" s="530">
        <v>77213.101309175705</v>
      </c>
      <c r="L421" s="530">
        <v>83293.413513624502</v>
      </c>
      <c r="M421" s="530">
        <v>79465.07882136626</v>
      </c>
      <c r="N421" s="530">
        <v>108442.7909015443</v>
      </c>
      <c r="O421" s="530">
        <v>120833.62314410757</v>
      </c>
      <c r="P421" s="530">
        <v>82354.347782792029</v>
      </c>
      <c r="Q421" s="530">
        <v>55680.71151744439</v>
      </c>
      <c r="R421" s="530">
        <v>30587.151242607259</v>
      </c>
      <c r="S421" s="530">
        <v>18907.963883770975</v>
      </c>
      <c r="T421" s="530">
        <v>745204.41327812488</v>
      </c>
      <c r="U421" s="530" t="s">
        <v>57</v>
      </c>
    </row>
    <row r="422" spans="1:21" ht="13.8" x14ac:dyDescent="0.3">
      <c r="A422" s="530" t="str">
        <f t="shared" si="12"/>
        <v>Conwy.2019.Population.Total</v>
      </c>
      <c r="B422" s="530" t="s">
        <v>219</v>
      </c>
      <c r="C422" s="530" t="str">
        <f t="shared" si="13"/>
        <v>2019.Population.Total</v>
      </c>
      <c r="D422" s="530" t="s">
        <v>239</v>
      </c>
      <c r="E422" s="530" t="s">
        <v>19</v>
      </c>
      <c r="F422" s="530" t="s">
        <v>54</v>
      </c>
      <c r="G422" s="530" t="s">
        <v>54</v>
      </c>
      <c r="H422" s="530">
        <v>117181</v>
      </c>
      <c r="I422" s="530">
        <v>117181</v>
      </c>
      <c r="J422" s="530">
        <v>117181</v>
      </c>
      <c r="K422" s="530">
        <v>117181</v>
      </c>
      <c r="L422" s="530">
        <v>117181</v>
      </c>
      <c r="M422" s="530">
        <v>117181</v>
      </c>
      <c r="N422" s="530">
        <v>117181</v>
      </c>
      <c r="O422" s="530">
        <v>117181</v>
      </c>
      <c r="P422" s="530">
        <v>117181</v>
      </c>
      <c r="Q422" s="530">
        <v>117181</v>
      </c>
      <c r="R422" s="530">
        <v>117181</v>
      </c>
      <c r="S422" s="530">
        <v>117181</v>
      </c>
      <c r="T422" s="530">
        <v>117181</v>
      </c>
      <c r="U422" s="530" t="s">
        <v>60</v>
      </c>
    </row>
    <row r="423" spans="1:21" ht="13.8" x14ac:dyDescent="0.3">
      <c r="A423" s="530" t="str">
        <f t="shared" si="12"/>
        <v>Conwy.2019.Employment.Serviced Accommodation</v>
      </c>
      <c r="B423" s="530" t="s">
        <v>219</v>
      </c>
      <c r="C423" s="530" t="str">
        <f t="shared" si="13"/>
        <v>2019.Employment.Serviced Accommodation</v>
      </c>
      <c r="D423" s="530" t="s">
        <v>239</v>
      </c>
      <c r="E423" s="530" t="s">
        <v>20</v>
      </c>
      <c r="F423" s="530" t="s">
        <v>43</v>
      </c>
      <c r="G423" s="530" t="s">
        <v>43</v>
      </c>
      <c r="H423" s="530">
        <v>2219.3249065689015</v>
      </c>
      <c r="I423" s="530">
        <v>2148.4146423702641</v>
      </c>
      <c r="J423" s="530">
        <v>2168.5340899576172</v>
      </c>
      <c r="K423" s="530">
        <v>2446.4924332060582</v>
      </c>
      <c r="L423" s="530">
        <v>2801.9755622959119</v>
      </c>
      <c r="M423" s="530">
        <v>2596.5579117429756</v>
      </c>
      <c r="N423" s="530">
        <v>2596.6934994401154</v>
      </c>
      <c r="O423" s="530">
        <v>2721.3921303252191</v>
      </c>
      <c r="P423" s="530">
        <v>2597.8668370780774</v>
      </c>
      <c r="Q423" s="530">
        <v>2293.5467174675814</v>
      </c>
      <c r="R423" s="530">
        <v>2414.911968178355</v>
      </c>
      <c r="S423" s="530">
        <v>2085.9331299934606</v>
      </c>
      <c r="T423" s="530">
        <v>2424.303652385378</v>
      </c>
      <c r="U423" s="530" t="s">
        <v>59</v>
      </c>
    </row>
    <row r="424" spans="1:21" ht="13.8" x14ac:dyDescent="0.3">
      <c r="A424" s="530" t="str">
        <f t="shared" si="12"/>
        <v>Conwy.2019.Employment.Non-Serviced Accommodation</v>
      </c>
      <c r="B424" s="530" t="s">
        <v>219</v>
      </c>
      <c r="C424" s="530" t="str">
        <f t="shared" si="13"/>
        <v>2019.Employment.Non-Serviced Accommodation</v>
      </c>
      <c r="D424" s="530" t="s">
        <v>239</v>
      </c>
      <c r="E424" s="530" t="s">
        <v>20</v>
      </c>
      <c r="F424" s="530" t="s">
        <v>48</v>
      </c>
      <c r="G424" s="530" t="s">
        <v>48</v>
      </c>
      <c r="H424" s="530">
        <v>1581.7718152126308</v>
      </c>
      <c r="I424" s="530">
        <v>1605.1801485503797</v>
      </c>
      <c r="J424" s="530">
        <v>4137.2980558759691</v>
      </c>
      <c r="K424" s="530">
        <v>5308.5521716944859</v>
      </c>
      <c r="L424" s="530">
        <v>5575.0041260446033</v>
      </c>
      <c r="M424" s="530">
        <v>5739.6867425139963</v>
      </c>
      <c r="N424" s="530">
        <v>6755.1933040002159</v>
      </c>
      <c r="O424" s="530">
        <v>7025.762818493693</v>
      </c>
      <c r="P424" s="530">
        <v>5202.3582124083332</v>
      </c>
      <c r="Q424" s="530">
        <v>5080.3018334131939</v>
      </c>
      <c r="R424" s="530">
        <v>2609.8472596733932</v>
      </c>
      <c r="S424" s="530">
        <v>1735.6277375974771</v>
      </c>
      <c r="T424" s="530">
        <v>4363.0486854565306</v>
      </c>
      <c r="U424" s="530" t="s">
        <v>59</v>
      </c>
    </row>
    <row r="425" spans="1:21" ht="13.8" x14ac:dyDescent="0.3">
      <c r="A425" s="530" t="str">
        <f t="shared" si="12"/>
        <v>Conwy.2019.Employment.SFR</v>
      </c>
      <c r="B425" s="530" t="s">
        <v>219</v>
      </c>
      <c r="C425" s="530" t="str">
        <f t="shared" si="13"/>
        <v>2019.Employment.SFR</v>
      </c>
      <c r="D425" s="530" t="s">
        <v>239</v>
      </c>
      <c r="E425" s="530" t="s">
        <v>20</v>
      </c>
      <c r="F425" s="530" t="s">
        <v>18</v>
      </c>
      <c r="G425" s="530" t="s">
        <v>18</v>
      </c>
      <c r="H425" s="530">
        <v>241.13697117122922</v>
      </c>
      <c r="I425" s="530">
        <v>81.022022313533029</v>
      </c>
      <c r="J425" s="530">
        <v>92.167908981003166</v>
      </c>
      <c r="K425" s="530">
        <v>219.91691770816107</v>
      </c>
      <c r="L425" s="530">
        <v>141.46702308712119</v>
      </c>
      <c r="M425" s="530">
        <v>108.97462001170192</v>
      </c>
      <c r="N425" s="530">
        <v>176.83377885890144</v>
      </c>
      <c r="O425" s="530">
        <v>187.19516658016124</v>
      </c>
      <c r="P425" s="530">
        <v>96.420707776566161</v>
      </c>
      <c r="Q425" s="530">
        <v>96.326182083867039</v>
      </c>
      <c r="R425" s="530">
        <v>75.05790122656461</v>
      </c>
      <c r="S425" s="530">
        <v>217.34479001566802</v>
      </c>
      <c r="T425" s="530">
        <v>144.48866581787317</v>
      </c>
      <c r="U425" s="530" t="s">
        <v>59</v>
      </c>
    </row>
    <row r="426" spans="1:21" ht="13.8" x14ac:dyDescent="0.3">
      <c r="A426" s="530" t="str">
        <f t="shared" si="12"/>
        <v>Conwy.2019.Employment.Day Visitor</v>
      </c>
      <c r="B426" s="530" t="s">
        <v>219</v>
      </c>
      <c r="C426" s="530" t="str">
        <f t="shared" si="13"/>
        <v>2019.Employment.Day Visitor</v>
      </c>
      <c r="D426" s="530" t="s">
        <v>239</v>
      </c>
      <c r="E426" s="530" t="s">
        <v>20</v>
      </c>
      <c r="F426" s="530" t="s">
        <v>71</v>
      </c>
      <c r="G426" s="530" t="s">
        <v>71</v>
      </c>
      <c r="H426" s="530">
        <v>358.63945043327567</v>
      </c>
      <c r="I426" s="530">
        <v>1970.3075094523372</v>
      </c>
      <c r="J426" s="530">
        <v>1326.5425953169372</v>
      </c>
      <c r="K426" s="530">
        <v>4457.401584552309</v>
      </c>
      <c r="L426" s="530">
        <v>4436.3586887517949</v>
      </c>
      <c r="M426" s="530">
        <v>4092.7734790716868</v>
      </c>
      <c r="N426" s="530">
        <v>6037.9430518265099</v>
      </c>
      <c r="O426" s="530">
        <v>7618.5573720590146</v>
      </c>
      <c r="P426" s="530">
        <v>4099.8394294551854</v>
      </c>
      <c r="Q426" s="530">
        <v>2107.1396337238634</v>
      </c>
      <c r="R426" s="530">
        <v>752.61174110197624</v>
      </c>
      <c r="S426" s="530">
        <v>254.40705070148383</v>
      </c>
      <c r="T426" s="530">
        <v>3126.0434655371973</v>
      </c>
      <c r="U426" s="530" t="s">
        <v>59</v>
      </c>
    </row>
    <row r="427" spans="1:21" ht="13.8" x14ac:dyDescent="0.3">
      <c r="A427" s="530" t="str">
        <f t="shared" si="12"/>
        <v>Conwy.2019.Employment.Direct Employment</v>
      </c>
      <c r="B427" s="530" t="s">
        <v>219</v>
      </c>
      <c r="C427" s="530" t="str">
        <f t="shared" si="13"/>
        <v>2019.Employment.Direct Employment</v>
      </c>
      <c r="D427" s="530" t="s">
        <v>239</v>
      </c>
      <c r="E427" s="530" t="s">
        <v>20</v>
      </c>
      <c r="F427" s="530" t="s">
        <v>55</v>
      </c>
      <c r="G427" s="530" t="s">
        <v>55</v>
      </c>
      <c r="H427" s="530">
        <v>4400.8731433860376</v>
      </c>
      <c r="I427" s="530">
        <v>5804.9243226865137</v>
      </c>
      <c r="J427" s="530">
        <v>7724.5426501315269</v>
      </c>
      <c r="K427" s="530">
        <v>12432.363107161014</v>
      </c>
      <c r="L427" s="530">
        <v>12954.80540017943</v>
      </c>
      <c r="M427" s="530">
        <v>12537.992753340361</v>
      </c>
      <c r="N427" s="530">
        <v>15566.663634125744</v>
      </c>
      <c r="O427" s="530">
        <v>17552.907487458087</v>
      </c>
      <c r="P427" s="530">
        <v>11996.485186718162</v>
      </c>
      <c r="Q427" s="530">
        <v>9577.3143666885062</v>
      </c>
      <c r="R427" s="530">
        <v>5852.428870180288</v>
      </c>
      <c r="S427" s="530">
        <v>4293.3127083080899</v>
      </c>
      <c r="T427" s="530">
        <v>10057.884469196979</v>
      </c>
      <c r="U427" s="530" t="s">
        <v>59</v>
      </c>
    </row>
    <row r="428" spans="1:21" ht="13.8" x14ac:dyDescent="0.3">
      <c r="A428" s="530" t="str">
        <f t="shared" si="12"/>
        <v>Conwy.2019.Employment.Indirect Employment</v>
      </c>
      <c r="B428" s="530" t="s">
        <v>219</v>
      </c>
      <c r="C428" s="530" t="str">
        <f t="shared" si="13"/>
        <v>2019.Employment.Indirect Employment</v>
      </c>
      <c r="D428" s="530" t="s">
        <v>239</v>
      </c>
      <c r="E428" s="530" t="s">
        <v>20</v>
      </c>
      <c r="F428" s="530" t="s">
        <v>53</v>
      </c>
      <c r="G428" s="530" t="s">
        <v>53</v>
      </c>
      <c r="H428" s="530">
        <v>767.69966188642593</v>
      </c>
      <c r="I428" s="530">
        <v>1137.001688720982</v>
      </c>
      <c r="J428" s="530">
        <v>1677.1382688049509</v>
      </c>
      <c r="K428" s="530">
        <v>3198.6903039967287</v>
      </c>
      <c r="L428" s="530">
        <v>3416.3917544092697</v>
      </c>
      <c r="M428" s="530">
        <v>3277.9623323296723</v>
      </c>
      <c r="N428" s="530">
        <v>4495.4631995539357</v>
      </c>
      <c r="O428" s="530">
        <v>5017.0570345164942</v>
      </c>
      <c r="P428" s="530">
        <v>3393.5225204998251</v>
      </c>
      <c r="Q428" s="530">
        <v>2318.5587762669397</v>
      </c>
      <c r="R428" s="530">
        <v>1226.5091254155859</v>
      </c>
      <c r="S428" s="530">
        <v>786.06775826555486</v>
      </c>
      <c r="T428" s="530">
        <v>2559.3385353888634</v>
      </c>
      <c r="U428" s="530" t="s">
        <v>59</v>
      </c>
    </row>
    <row r="429" spans="1:21" ht="13.8" x14ac:dyDescent="0.3">
      <c r="A429" s="530" t="str">
        <f t="shared" si="12"/>
        <v>Conwy.2019.Employment.Total</v>
      </c>
      <c r="B429" s="530" t="s">
        <v>219</v>
      </c>
      <c r="C429" s="530" t="str">
        <f t="shared" si="13"/>
        <v>2019.Employment.Total</v>
      </c>
      <c r="D429" s="530" t="s">
        <v>239</v>
      </c>
      <c r="E429" s="530" t="s">
        <v>20</v>
      </c>
      <c r="F429" s="530" t="s">
        <v>54</v>
      </c>
      <c r="G429" s="530" t="s">
        <v>54</v>
      </c>
      <c r="H429" s="530">
        <v>5168.5728052724635</v>
      </c>
      <c r="I429" s="530">
        <v>6941.9260114074959</v>
      </c>
      <c r="J429" s="530">
        <v>9401.6809189364776</v>
      </c>
      <c r="K429" s="530">
        <v>15631.053411157744</v>
      </c>
      <c r="L429" s="530">
        <v>16371.197154588699</v>
      </c>
      <c r="M429" s="530">
        <v>15815.955085670033</v>
      </c>
      <c r="N429" s="530">
        <v>20062.126833679678</v>
      </c>
      <c r="O429" s="530">
        <v>22569.96452197458</v>
      </c>
      <c r="P429" s="530">
        <v>15390.007707217988</v>
      </c>
      <c r="Q429" s="530">
        <v>11895.873142955446</v>
      </c>
      <c r="R429" s="530">
        <v>7078.9379955958739</v>
      </c>
      <c r="S429" s="530">
        <v>5079.3804665736443</v>
      </c>
      <c r="T429" s="530">
        <v>12617.223004585843</v>
      </c>
      <c r="U429" s="530" t="s">
        <v>59</v>
      </c>
    </row>
    <row r="430" spans="1:21" ht="13.8" x14ac:dyDescent="0.3">
      <c r="A430" s="530" t="str">
        <f t="shared" si="12"/>
        <v>Conwy.2019.Employment.Accommodation</v>
      </c>
      <c r="B430" s="530" t="s">
        <v>219</v>
      </c>
      <c r="C430" s="530" t="str">
        <f t="shared" si="13"/>
        <v>2019.Employment.Accommodation</v>
      </c>
      <c r="D430" s="530" t="s">
        <v>239</v>
      </c>
      <c r="E430" s="530" t="s">
        <v>20</v>
      </c>
      <c r="F430" s="530" t="s">
        <v>23</v>
      </c>
      <c r="G430" s="530" t="s">
        <v>23</v>
      </c>
      <c r="H430" s="530">
        <v>2742.0267871469082</v>
      </c>
      <c r="I430" s="530">
        <v>2792.1591553148905</v>
      </c>
      <c r="J430" s="530">
        <v>3154.2</v>
      </c>
      <c r="K430" s="530">
        <v>3246.2054795604581</v>
      </c>
      <c r="L430" s="530">
        <v>3325.5962222370736</v>
      </c>
      <c r="M430" s="530">
        <v>3247.4543243745402</v>
      </c>
      <c r="N430" s="530">
        <v>3252.4929379041878</v>
      </c>
      <c r="O430" s="530">
        <v>3758.2523320224127</v>
      </c>
      <c r="P430" s="530">
        <v>3275.7694304518336</v>
      </c>
      <c r="Q430" s="530">
        <v>3232.7721391027681</v>
      </c>
      <c r="R430" s="530">
        <v>2980.2000000000003</v>
      </c>
      <c r="S430" s="530">
        <v>2780</v>
      </c>
      <c r="T430" s="530">
        <v>3148.9274006762557</v>
      </c>
      <c r="U430" s="530" t="s">
        <v>59</v>
      </c>
    </row>
    <row r="431" spans="1:21" ht="13.8" x14ac:dyDescent="0.3">
      <c r="A431" s="530" t="str">
        <f t="shared" si="12"/>
        <v>Conwy.2019.Employment.Food &amp; Drink</v>
      </c>
      <c r="B431" s="530" t="s">
        <v>219</v>
      </c>
      <c r="C431" s="530" t="str">
        <f t="shared" si="13"/>
        <v>2019.Employment.Food &amp; Drink</v>
      </c>
      <c r="D431" s="530" t="s">
        <v>239</v>
      </c>
      <c r="E431" s="530" t="s">
        <v>20</v>
      </c>
      <c r="F431" s="530" t="s">
        <v>49</v>
      </c>
      <c r="G431" s="530" t="s">
        <v>49</v>
      </c>
      <c r="H431" s="530">
        <v>636.3050238438592</v>
      </c>
      <c r="I431" s="530">
        <v>986.09624568189554</v>
      </c>
      <c r="J431" s="530">
        <v>1788.8107267941762</v>
      </c>
      <c r="K431" s="530">
        <v>3351.3987289905403</v>
      </c>
      <c r="L431" s="530">
        <v>3578.0966773485216</v>
      </c>
      <c r="M431" s="530">
        <v>3458.9464073243353</v>
      </c>
      <c r="N431" s="530">
        <v>4545.5678247924152</v>
      </c>
      <c r="O431" s="530">
        <v>4994.0726117847771</v>
      </c>
      <c r="P431" s="530">
        <v>3256.5359980093444</v>
      </c>
      <c r="Q431" s="530">
        <v>2486.3527947566786</v>
      </c>
      <c r="R431" s="530">
        <v>1152.876814495424</v>
      </c>
      <c r="S431" s="530">
        <v>613.20487771313094</v>
      </c>
      <c r="T431" s="530">
        <v>2570.6887276279249</v>
      </c>
      <c r="U431" s="530" t="s">
        <v>59</v>
      </c>
    </row>
    <row r="432" spans="1:21" ht="13.8" x14ac:dyDescent="0.3">
      <c r="A432" s="530" t="str">
        <f t="shared" si="12"/>
        <v>Conwy.2019.Employment.Recreation</v>
      </c>
      <c r="B432" s="530" t="s">
        <v>219</v>
      </c>
      <c r="C432" s="530" t="str">
        <f t="shared" si="13"/>
        <v>2019.Employment.Recreation</v>
      </c>
      <c r="D432" s="530" t="s">
        <v>239</v>
      </c>
      <c r="E432" s="530" t="s">
        <v>20</v>
      </c>
      <c r="F432" s="530" t="s">
        <v>50</v>
      </c>
      <c r="G432" s="530" t="s">
        <v>50</v>
      </c>
      <c r="H432" s="530">
        <v>198.00294290342546</v>
      </c>
      <c r="I432" s="530">
        <v>298.52068422672204</v>
      </c>
      <c r="J432" s="530">
        <v>592.42374469062077</v>
      </c>
      <c r="K432" s="530">
        <v>1069.5193920196953</v>
      </c>
      <c r="L432" s="530">
        <v>1090.7893321655122</v>
      </c>
      <c r="M432" s="530">
        <v>1100.8294521265593</v>
      </c>
      <c r="N432" s="530">
        <v>1367.5134836540158</v>
      </c>
      <c r="O432" s="530">
        <v>1426.6166000479525</v>
      </c>
      <c r="P432" s="530">
        <v>970.2734114510173</v>
      </c>
      <c r="Q432" s="530">
        <v>777.83538936746754</v>
      </c>
      <c r="R432" s="530">
        <v>344.95767112364524</v>
      </c>
      <c r="S432" s="530">
        <v>195.54880388049477</v>
      </c>
      <c r="T432" s="530">
        <v>786.06924230476068</v>
      </c>
      <c r="U432" s="530" t="s">
        <v>59</v>
      </c>
    </row>
    <row r="433" spans="1:21" ht="13.8" x14ac:dyDescent="0.3">
      <c r="A433" s="530" t="str">
        <f t="shared" si="12"/>
        <v>Conwy.2019.Employment.Shopping</v>
      </c>
      <c r="B433" s="530" t="s">
        <v>219</v>
      </c>
      <c r="C433" s="530" t="str">
        <f t="shared" si="13"/>
        <v>2019.Employment.Shopping</v>
      </c>
      <c r="D433" s="530" t="s">
        <v>239</v>
      </c>
      <c r="E433" s="530" t="s">
        <v>20</v>
      </c>
      <c r="F433" s="530" t="s">
        <v>51</v>
      </c>
      <c r="G433" s="530" t="s">
        <v>51</v>
      </c>
      <c r="H433" s="530">
        <v>714.88807181664424</v>
      </c>
      <c r="I433" s="530">
        <v>1535.8618975052536</v>
      </c>
      <c r="J433" s="530">
        <v>1874.5631295477733</v>
      </c>
      <c r="K433" s="530">
        <v>4151.5022218472996</v>
      </c>
      <c r="L433" s="530">
        <v>4318.3785745884979</v>
      </c>
      <c r="M433" s="530">
        <v>4103.6183392625744</v>
      </c>
      <c r="N433" s="530">
        <v>5581.467846743496</v>
      </c>
      <c r="O433" s="530">
        <v>6472.7477725565795</v>
      </c>
      <c r="P433" s="530">
        <v>3915.1377089606667</v>
      </c>
      <c r="Q433" s="530">
        <v>2649.5068876549235</v>
      </c>
      <c r="R433" s="530">
        <v>1178.1790681538309</v>
      </c>
      <c r="S433" s="530">
        <v>602.76414524973836</v>
      </c>
      <c r="T433" s="530">
        <v>3091.5513053239406</v>
      </c>
      <c r="U433" s="530" t="s">
        <v>59</v>
      </c>
    </row>
    <row r="434" spans="1:21" ht="13.8" x14ac:dyDescent="0.3">
      <c r="A434" s="530" t="str">
        <f t="shared" si="12"/>
        <v>Conwy.2019.Employment.Transport</v>
      </c>
      <c r="B434" s="530" t="s">
        <v>219</v>
      </c>
      <c r="C434" s="530" t="str">
        <f t="shared" si="13"/>
        <v>2019.Employment.Transport</v>
      </c>
      <c r="D434" s="530" t="s">
        <v>239</v>
      </c>
      <c r="E434" s="530" t="s">
        <v>20</v>
      </c>
      <c r="F434" s="530" t="s">
        <v>52</v>
      </c>
      <c r="G434" s="530" t="s">
        <v>52</v>
      </c>
      <c r="H434" s="530">
        <v>109.65031767520053</v>
      </c>
      <c r="I434" s="530">
        <v>192.2863399577522</v>
      </c>
      <c r="J434" s="530">
        <v>314.54504909895644</v>
      </c>
      <c r="K434" s="530">
        <v>613.73728474302186</v>
      </c>
      <c r="L434" s="530">
        <v>641.94459383982587</v>
      </c>
      <c r="M434" s="530">
        <v>627.1442302523518</v>
      </c>
      <c r="N434" s="530">
        <v>819.62154103162652</v>
      </c>
      <c r="O434" s="530">
        <v>901.21817104636625</v>
      </c>
      <c r="P434" s="530">
        <v>578.76863784530076</v>
      </c>
      <c r="Q434" s="530">
        <v>430.84715580666779</v>
      </c>
      <c r="R434" s="530">
        <v>196.21531640738894</v>
      </c>
      <c r="S434" s="530">
        <v>101.79488146472562</v>
      </c>
      <c r="T434" s="530">
        <v>460.64779326409871</v>
      </c>
      <c r="U434" s="530" t="s">
        <v>59</v>
      </c>
    </row>
    <row r="435" spans="1:21" ht="13.8" x14ac:dyDescent="0.3">
      <c r="A435" s="530" t="str">
        <f t="shared" si="12"/>
        <v>Conwy.2019.Visitor Days.Serviced Accommodation</v>
      </c>
      <c r="B435" s="530" t="s">
        <v>219</v>
      </c>
      <c r="C435" s="530" t="str">
        <f t="shared" si="13"/>
        <v>2019.Visitor Days.Serviced Accommodation</v>
      </c>
      <c r="D435" s="530" t="s">
        <v>239</v>
      </c>
      <c r="E435" s="530" t="s">
        <v>171</v>
      </c>
      <c r="F435" s="530" t="s">
        <v>43</v>
      </c>
      <c r="G435" s="530" t="s">
        <v>43</v>
      </c>
      <c r="H435" s="530">
        <v>141.77291663287423</v>
      </c>
      <c r="I435" s="530">
        <v>118.32784911037524</v>
      </c>
      <c r="J435" s="530">
        <v>95.077390963550386</v>
      </c>
      <c r="K435" s="530">
        <v>144.47326264300489</v>
      </c>
      <c r="L435" s="530">
        <v>210.7948769644172</v>
      </c>
      <c r="M435" s="530">
        <v>174.31515368121555</v>
      </c>
      <c r="N435" s="530">
        <v>170.61263460006251</v>
      </c>
      <c r="O435" s="530">
        <v>195.66600672672573</v>
      </c>
      <c r="P435" s="530">
        <v>170.9052046754245</v>
      </c>
      <c r="Q435" s="530">
        <v>113.95022997891701</v>
      </c>
      <c r="R435" s="530">
        <v>153.95823919699436</v>
      </c>
      <c r="S435" s="530">
        <v>105.24260237312093</v>
      </c>
      <c r="T435" s="530">
        <v>1795.0963675466824</v>
      </c>
      <c r="U435" s="530" t="s">
        <v>61</v>
      </c>
    </row>
    <row r="436" spans="1:21" ht="13.8" x14ac:dyDescent="0.3">
      <c r="A436" s="530" t="str">
        <f t="shared" si="12"/>
        <v>Conwy.2019.Visitor Days.Non-Serviced Accommodation</v>
      </c>
      <c r="B436" s="530" t="s">
        <v>219</v>
      </c>
      <c r="C436" s="530" t="str">
        <f t="shared" si="13"/>
        <v>2019.Visitor Days.Non-Serviced Accommodation</v>
      </c>
      <c r="D436" s="530" t="s">
        <v>239</v>
      </c>
      <c r="E436" s="530" t="s">
        <v>171</v>
      </c>
      <c r="F436" s="530" t="s">
        <v>48</v>
      </c>
      <c r="G436" s="530" t="s">
        <v>48</v>
      </c>
      <c r="H436" s="530">
        <v>95.211103191331617</v>
      </c>
      <c r="I436" s="530">
        <v>97.331133986263296</v>
      </c>
      <c r="J436" s="530">
        <v>674.17646855406417</v>
      </c>
      <c r="K436" s="530">
        <v>947.89431957709155</v>
      </c>
      <c r="L436" s="530">
        <v>1034.2330006258774</v>
      </c>
      <c r="M436" s="530">
        <v>1058.5364954308889</v>
      </c>
      <c r="N436" s="530">
        <v>1328.1103427646801</v>
      </c>
      <c r="O436" s="530">
        <v>1309.1470335897682</v>
      </c>
      <c r="P436" s="530">
        <v>958.96668927239205</v>
      </c>
      <c r="Q436" s="530">
        <v>919.15520314447906</v>
      </c>
      <c r="R436" s="530">
        <v>346.1287580240176</v>
      </c>
      <c r="S436" s="530">
        <v>140.58769957589692</v>
      </c>
      <c r="T436" s="530">
        <v>8909.4782477367517</v>
      </c>
      <c r="U436" s="530" t="s">
        <v>61</v>
      </c>
    </row>
    <row r="437" spans="1:21" ht="13.8" x14ac:dyDescent="0.3">
      <c r="A437" s="530" t="str">
        <f t="shared" si="12"/>
        <v>Conwy.2019.Visitor Days.SFR</v>
      </c>
      <c r="B437" s="530" t="s">
        <v>219</v>
      </c>
      <c r="C437" s="530" t="str">
        <f t="shared" si="13"/>
        <v>2019.Visitor Days.SFR</v>
      </c>
      <c r="D437" s="530" t="s">
        <v>239</v>
      </c>
      <c r="E437" s="530" t="s">
        <v>171</v>
      </c>
      <c r="F437" s="530" t="s">
        <v>18</v>
      </c>
      <c r="G437" s="530" t="s">
        <v>18</v>
      </c>
      <c r="H437" s="530">
        <v>59.922102272727273</v>
      </c>
      <c r="I437" s="530">
        <v>20.133826363636359</v>
      </c>
      <c r="J437" s="530">
        <v>22.903559090909091</v>
      </c>
      <c r="K437" s="530">
        <v>54.648957272727266</v>
      </c>
      <c r="L437" s="530">
        <v>35.154300000000006</v>
      </c>
      <c r="M437" s="530">
        <v>27.079996459090907</v>
      </c>
      <c r="N437" s="530">
        <v>43.942874999999994</v>
      </c>
      <c r="O437" s="530">
        <v>46.517661154545458</v>
      </c>
      <c r="P437" s="530">
        <v>23.960371918636362</v>
      </c>
      <c r="Q437" s="530">
        <v>23.936882454545451</v>
      </c>
      <c r="R437" s="530">
        <v>18.651753034090905</v>
      </c>
      <c r="S437" s="530">
        <v>54.009788181818195</v>
      </c>
      <c r="T437" s="530">
        <v>430.86207320272734</v>
      </c>
      <c r="U437" s="530" t="s">
        <v>61</v>
      </c>
    </row>
    <row r="438" spans="1:21" ht="13.8" x14ac:dyDescent="0.3">
      <c r="A438" s="530" t="str">
        <f t="shared" si="12"/>
        <v>Conwy.2019.Visitor Days.Day Visitor</v>
      </c>
      <c r="B438" s="530" t="s">
        <v>219</v>
      </c>
      <c r="C438" s="530" t="str">
        <f t="shared" si="13"/>
        <v>2019.Visitor Days.Day Visitor</v>
      </c>
      <c r="D438" s="530" t="s">
        <v>239</v>
      </c>
      <c r="E438" s="530" t="s">
        <v>171</v>
      </c>
      <c r="F438" s="530" t="s">
        <v>71</v>
      </c>
      <c r="G438" s="530" t="s">
        <v>71</v>
      </c>
      <c r="H438" s="530">
        <v>69.023744091271908</v>
      </c>
      <c r="I438" s="530">
        <v>379.20535833202115</v>
      </c>
      <c r="J438" s="530">
        <v>255.30637110532575</v>
      </c>
      <c r="K438" s="530">
        <v>857.87145254788243</v>
      </c>
      <c r="L438" s="530">
        <v>853.82153708844464</v>
      </c>
      <c r="M438" s="530">
        <v>787.69513198199354</v>
      </c>
      <c r="N438" s="530">
        <v>1162.0624433353694</v>
      </c>
      <c r="O438" s="530">
        <v>1466.2674554022892</v>
      </c>
      <c r="P438" s="530">
        <v>789.05504470337166</v>
      </c>
      <c r="Q438" s="530">
        <v>405.54006723750479</v>
      </c>
      <c r="R438" s="530">
        <v>144.847646167064</v>
      </c>
      <c r="S438" s="530">
        <v>48.963177758107499</v>
      </c>
      <c r="T438" s="530">
        <v>7219.6594297506463</v>
      </c>
      <c r="U438" s="530" t="s">
        <v>61</v>
      </c>
    </row>
    <row r="439" spans="1:21" ht="13.8" x14ac:dyDescent="0.3">
      <c r="A439" s="530" t="str">
        <f t="shared" si="12"/>
        <v>Conwy.2019.Visitor Days.Total</v>
      </c>
      <c r="B439" s="530" t="s">
        <v>219</v>
      </c>
      <c r="C439" s="530" t="str">
        <f t="shared" si="13"/>
        <v>2019.Visitor Days.Total</v>
      </c>
      <c r="D439" s="530" t="s">
        <v>239</v>
      </c>
      <c r="E439" s="530" t="s">
        <v>171</v>
      </c>
      <c r="F439" s="530" t="s">
        <v>54</v>
      </c>
      <c r="G439" s="530" t="s">
        <v>54</v>
      </c>
      <c r="H439" s="530">
        <v>365.92986618820504</v>
      </c>
      <c r="I439" s="530">
        <v>614.99816779229604</v>
      </c>
      <c r="J439" s="530">
        <v>1047.4637897138493</v>
      </c>
      <c r="K439" s="530">
        <v>2004.8879920407062</v>
      </c>
      <c r="L439" s="530">
        <v>2134.003714678739</v>
      </c>
      <c r="M439" s="530">
        <v>2047.6267775531887</v>
      </c>
      <c r="N439" s="530">
        <v>2704.7282957001121</v>
      </c>
      <c r="O439" s="530">
        <v>3017.5981568733287</v>
      </c>
      <c r="P439" s="530">
        <v>1942.8873105698244</v>
      </c>
      <c r="Q439" s="530">
        <v>1462.5823828154462</v>
      </c>
      <c r="R439" s="530">
        <v>663.5863964221669</v>
      </c>
      <c r="S439" s="530">
        <v>348.80326788894354</v>
      </c>
      <c r="T439" s="530">
        <v>18355.096118236808</v>
      </c>
      <c r="U439" s="530" t="s">
        <v>61</v>
      </c>
    </row>
    <row r="440" spans="1:21" ht="13.8" x14ac:dyDescent="0.3">
      <c r="A440" s="530" t="str">
        <f t="shared" si="12"/>
        <v>Conwy.2019.Visitor Numbers.Serviced Accommodation</v>
      </c>
      <c r="B440" s="530" t="s">
        <v>219</v>
      </c>
      <c r="C440" s="530" t="str">
        <f t="shared" si="13"/>
        <v>2019.Visitor Numbers.Serviced Accommodation</v>
      </c>
      <c r="D440" s="530" t="s">
        <v>239</v>
      </c>
      <c r="E440" s="530" t="s">
        <v>172</v>
      </c>
      <c r="F440" s="530" t="s">
        <v>43</v>
      </c>
      <c r="G440" s="530" t="s">
        <v>43</v>
      </c>
      <c r="H440" s="530">
        <v>92.98675500049427</v>
      </c>
      <c r="I440" s="530">
        <v>79.736418486746345</v>
      </c>
      <c r="J440" s="530">
        <v>46.024373938920753</v>
      </c>
      <c r="K440" s="530">
        <v>79.237681129862438</v>
      </c>
      <c r="L440" s="530">
        <v>111.53818142195981</v>
      </c>
      <c r="M440" s="530">
        <v>97.757814783198711</v>
      </c>
      <c r="N440" s="530">
        <v>95.89579673694999</v>
      </c>
      <c r="O440" s="530">
        <v>108.81111121797092</v>
      </c>
      <c r="P440" s="530">
        <v>86.051994008504721</v>
      </c>
      <c r="Q440" s="530">
        <v>66.143254969884737</v>
      </c>
      <c r="R440" s="530">
        <v>88.91805518872124</v>
      </c>
      <c r="S440" s="530">
        <v>64.313177003968875</v>
      </c>
      <c r="T440" s="530">
        <v>1017.4146138871829</v>
      </c>
      <c r="U440" s="530" t="s">
        <v>61</v>
      </c>
    </row>
    <row r="441" spans="1:21" ht="13.8" x14ac:dyDescent="0.3">
      <c r="A441" s="530" t="str">
        <f t="shared" si="12"/>
        <v>Conwy.2019.Visitor Numbers.Non-Serviced Accommodation</v>
      </c>
      <c r="B441" s="530" t="s">
        <v>219</v>
      </c>
      <c r="C441" s="530" t="str">
        <f t="shared" si="13"/>
        <v>2019.Visitor Numbers.Non-Serviced Accommodation</v>
      </c>
      <c r="D441" s="530" t="s">
        <v>239</v>
      </c>
      <c r="E441" s="530" t="s">
        <v>172</v>
      </c>
      <c r="F441" s="530" t="s">
        <v>48</v>
      </c>
      <c r="G441" s="530" t="s">
        <v>48</v>
      </c>
      <c r="H441" s="530">
        <v>28.003265644509298</v>
      </c>
      <c r="I441" s="530">
        <v>24.332783496565824</v>
      </c>
      <c r="J441" s="530">
        <v>140.45343094876335</v>
      </c>
      <c r="K441" s="530">
        <v>148.10848743392054</v>
      </c>
      <c r="L441" s="530">
        <v>149.88884067041701</v>
      </c>
      <c r="M441" s="530">
        <v>151.21949934726987</v>
      </c>
      <c r="N441" s="530">
        <v>187.05779475558879</v>
      </c>
      <c r="O441" s="530">
        <v>172.25618863023266</v>
      </c>
      <c r="P441" s="530">
        <v>138.98067960469447</v>
      </c>
      <c r="Q441" s="530">
        <v>131.30788616349702</v>
      </c>
      <c r="R441" s="530">
        <v>76.917501783115</v>
      </c>
      <c r="S441" s="530">
        <v>25.104946352838734</v>
      </c>
      <c r="T441" s="530">
        <v>1373.6313048314125</v>
      </c>
      <c r="U441" s="530" t="s">
        <v>61</v>
      </c>
    </row>
    <row r="442" spans="1:21" ht="13.8" x14ac:dyDescent="0.3">
      <c r="A442" s="530" t="str">
        <f t="shared" si="12"/>
        <v>Conwy.2019.Visitor Numbers.SFR</v>
      </c>
      <c r="B442" s="530" t="s">
        <v>219</v>
      </c>
      <c r="C442" s="530" t="str">
        <f t="shared" si="13"/>
        <v>2019.Visitor Numbers.SFR</v>
      </c>
      <c r="D442" s="530" t="s">
        <v>239</v>
      </c>
      <c r="E442" s="530" t="s">
        <v>172</v>
      </c>
      <c r="F442" s="530" t="s">
        <v>18</v>
      </c>
      <c r="G442" s="530" t="s">
        <v>18</v>
      </c>
      <c r="H442" s="530">
        <v>23.968840909090908</v>
      </c>
      <c r="I442" s="530">
        <v>9.587536363636362</v>
      </c>
      <c r="J442" s="530">
        <v>10.652818181818182</v>
      </c>
      <c r="K442" s="530">
        <v>20.24035454545454</v>
      </c>
      <c r="L442" s="530">
        <v>15.979227272727274</v>
      </c>
      <c r="M442" s="530">
        <v>12.895236409090908</v>
      </c>
      <c r="N442" s="530">
        <v>17.577149999999996</v>
      </c>
      <c r="O442" s="530">
        <v>17.891408136363637</v>
      </c>
      <c r="P442" s="530">
        <v>11.041646045454545</v>
      </c>
      <c r="Q442" s="530">
        <v>11.185459090909088</v>
      </c>
      <c r="R442" s="530">
        <v>9.1880556818181809</v>
      </c>
      <c r="S442" s="530">
        <v>20.772995454545459</v>
      </c>
      <c r="T442" s="530">
        <v>180.98072809090905</v>
      </c>
      <c r="U442" s="530" t="s">
        <v>61</v>
      </c>
    </row>
    <row r="443" spans="1:21" ht="13.8" x14ac:dyDescent="0.3">
      <c r="A443" s="530" t="str">
        <f t="shared" si="12"/>
        <v>Conwy.2019.Visitor Numbers.Day Visitor</v>
      </c>
      <c r="B443" s="530" t="s">
        <v>219</v>
      </c>
      <c r="C443" s="530" t="str">
        <f t="shared" si="13"/>
        <v>2019.Visitor Numbers.Day Visitor</v>
      </c>
      <c r="D443" s="530" t="s">
        <v>239</v>
      </c>
      <c r="E443" s="530" t="s">
        <v>172</v>
      </c>
      <c r="F443" s="530" t="s">
        <v>71</v>
      </c>
      <c r="G443" s="530" t="s">
        <v>71</v>
      </c>
      <c r="H443" s="530">
        <v>69.023744091271908</v>
      </c>
      <c r="I443" s="530">
        <v>379.20535833202115</v>
      </c>
      <c r="J443" s="530">
        <v>255.30637110532575</v>
      </c>
      <c r="K443" s="530">
        <v>857.87145254788243</v>
      </c>
      <c r="L443" s="530">
        <v>853.82153708844464</v>
      </c>
      <c r="M443" s="530">
        <v>787.69513198199354</v>
      </c>
      <c r="N443" s="530">
        <v>1162.0624433353694</v>
      </c>
      <c r="O443" s="530">
        <v>1466.2674554022892</v>
      </c>
      <c r="P443" s="530">
        <v>789.05504470337166</v>
      </c>
      <c r="Q443" s="530">
        <v>405.54006723750479</v>
      </c>
      <c r="R443" s="530">
        <v>144.847646167064</v>
      </c>
      <c r="S443" s="530">
        <v>48.963177758107499</v>
      </c>
      <c r="T443" s="530">
        <v>7219.6594297506463</v>
      </c>
      <c r="U443" s="530" t="s">
        <v>61</v>
      </c>
    </row>
    <row r="444" spans="1:21" ht="13.8" x14ac:dyDescent="0.3">
      <c r="A444" s="530" t="str">
        <f t="shared" si="12"/>
        <v>Conwy.2019.Visitor Numbers.Total</v>
      </c>
      <c r="B444" s="530" t="s">
        <v>219</v>
      </c>
      <c r="C444" s="530" t="str">
        <f t="shared" si="13"/>
        <v>2019.Visitor Numbers.Total</v>
      </c>
      <c r="D444" s="530" t="s">
        <v>239</v>
      </c>
      <c r="E444" s="530" t="s">
        <v>172</v>
      </c>
      <c r="F444" s="530" t="s">
        <v>54</v>
      </c>
      <c r="G444" s="530" t="s">
        <v>54</v>
      </c>
      <c r="H444" s="530">
        <v>213.98260564536639</v>
      </c>
      <c r="I444" s="530">
        <v>492.86209667896969</v>
      </c>
      <c r="J444" s="530">
        <v>452.43699417482804</v>
      </c>
      <c r="K444" s="530">
        <v>1105.45797565712</v>
      </c>
      <c r="L444" s="530">
        <v>1131.2277864535488</v>
      </c>
      <c r="M444" s="530">
        <v>1049.567682521553</v>
      </c>
      <c r="N444" s="530">
        <v>1462.5931848279081</v>
      </c>
      <c r="O444" s="530">
        <v>1765.2261633868563</v>
      </c>
      <c r="P444" s="530">
        <v>1025.1293643620254</v>
      </c>
      <c r="Q444" s="530">
        <v>614.17666746179566</v>
      </c>
      <c r="R444" s="530">
        <v>319.87125882071842</v>
      </c>
      <c r="S444" s="530">
        <v>159.15429656946057</v>
      </c>
      <c r="T444" s="530">
        <v>9791.6860765601505</v>
      </c>
      <c r="U444" s="530" t="s">
        <v>61</v>
      </c>
    </row>
    <row r="445" spans="1:21" ht="13.8" x14ac:dyDescent="0.3">
      <c r="A445" s="530" t="str">
        <f t="shared" si="12"/>
        <v>Conwy.2019.Vehicle Days.Serviced Accommodation</v>
      </c>
      <c r="B445" s="530" t="s">
        <v>219</v>
      </c>
      <c r="C445" s="530" t="str">
        <f t="shared" si="13"/>
        <v>2019.Vehicle Days.Serviced Accommodation</v>
      </c>
      <c r="D445" s="530" t="s">
        <v>239</v>
      </c>
      <c r="E445" s="530" t="s">
        <v>21</v>
      </c>
      <c r="F445" s="530" t="s">
        <v>43</v>
      </c>
      <c r="G445" s="530" t="s">
        <v>43</v>
      </c>
      <c r="H445" s="530">
        <v>36.37962094947536</v>
      </c>
      <c r="I445" s="530">
        <v>40.205715476668253</v>
      </c>
      <c r="J445" s="530">
        <v>33.779326593073378</v>
      </c>
      <c r="K445" s="530">
        <v>37.478036911246278</v>
      </c>
      <c r="L445" s="530">
        <v>58.471222716142513</v>
      </c>
      <c r="M445" s="530">
        <v>48.279118818950316</v>
      </c>
      <c r="N445" s="530">
        <v>44.166782137869255</v>
      </c>
      <c r="O445" s="530">
        <v>50.718823271811445</v>
      </c>
      <c r="P445" s="530">
        <v>44.292701744609658</v>
      </c>
      <c r="Q445" s="530">
        <v>35.215342018568499</v>
      </c>
      <c r="R445" s="530">
        <v>48.553652856458733</v>
      </c>
      <c r="S445" s="530">
        <v>27.305609994665566</v>
      </c>
      <c r="T445" s="530">
        <v>504.84595348953923</v>
      </c>
      <c r="U445" s="530" t="s">
        <v>61</v>
      </c>
    </row>
    <row r="446" spans="1:21" ht="13.8" x14ac:dyDescent="0.3">
      <c r="A446" s="530" t="str">
        <f t="shared" si="12"/>
        <v>Conwy.2019.Vehicle Days.Non-Serviced Accommodation</v>
      </c>
      <c r="B446" s="530" t="s">
        <v>219</v>
      </c>
      <c r="C446" s="530" t="str">
        <f t="shared" si="13"/>
        <v>2019.Vehicle Days.Non-Serviced Accommodation</v>
      </c>
      <c r="D446" s="530" t="s">
        <v>239</v>
      </c>
      <c r="E446" s="530" t="s">
        <v>21</v>
      </c>
      <c r="F446" s="530" t="s">
        <v>48</v>
      </c>
      <c r="G446" s="530" t="s">
        <v>48</v>
      </c>
      <c r="H446" s="530">
        <v>26.596929564061199</v>
      </c>
      <c r="I446" s="530">
        <v>33.809744910876361</v>
      </c>
      <c r="J446" s="530">
        <v>176.6506385384202</v>
      </c>
      <c r="K446" s="530">
        <v>243.63518398344942</v>
      </c>
      <c r="L446" s="530">
        <v>267.69059435595909</v>
      </c>
      <c r="M446" s="530">
        <v>277.89382732017896</v>
      </c>
      <c r="N446" s="530">
        <v>335.41469668909849</v>
      </c>
      <c r="O446" s="530">
        <v>321.33147565196242</v>
      </c>
      <c r="P446" s="530">
        <v>246.91838670712127</v>
      </c>
      <c r="Q446" s="530">
        <v>233.44952356899958</v>
      </c>
      <c r="R446" s="530">
        <v>89.604757873473432</v>
      </c>
      <c r="S446" s="530">
        <v>31.296859255266792</v>
      </c>
      <c r="T446" s="530">
        <v>2284.2926184188673</v>
      </c>
      <c r="U446" s="530" t="s">
        <v>61</v>
      </c>
    </row>
    <row r="447" spans="1:21" ht="13.8" x14ac:dyDescent="0.3">
      <c r="A447" s="530" t="str">
        <f t="shared" si="12"/>
        <v>Conwy.2019.Vehicle Days.SFR</v>
      </c>
      <c r="B447" s="530" t="s">
        <v>219</v>
      </c>
      <c r="C447" s="530" t="str">
        <f t="shared" si="13"/>
        <v>2019.Vehicle Days.SFR</v>
      </c>
      <c r="D447" s="530" t="s">
        <v>239</v>
      </c>
      <c r="E447" s="530" t="s">
        <v>21</v>
      </c>
      <c r="F447" s="530" t="s">
        <v>18</v>
      </c>
      <c r="G447" s="530" t="s">
        <v>18</v>
      </c>
      <c r="H447" s="530">
        <v>18.775592045454545</v>
      </c>
      <c r="I447" s="530">
        <v>6.3085989272727261</v>
      </c>
      <c r="J447" s="530">
        <v>7.1764485151515149</v>
      </c>
      <c r="K447" s="530">
        <v>17.123339945454543</v>
      </c>
      <c r="L447" s="530">
        <v>11.015014000000001</v>
      </c>
      <c r="M447" s="530">
        <v>8.4850655571818159</v>
      </c>
      <c r="N447" s="530">
        <v>13.768767499999997</v>
      </c>
      <c r="O447" s="530">
        <v>14.575533828424243</v>
      </c>
      <c r="P447" s="530">
        <v>7.5075832011727259</v>
      </c>
      <c r="Q447" s="530">
        <v>7.5002231690909076</v>
      </c>
      <c r="R447" s="530">
        <v>5.844215950681817</v>
      </c>
      <c r="S447" s="530">
        <v>16.923066963636366</v>
      </c>
      <c r="T447" s="530">
        <v>135.00344960352118</v>
      </c>
      <c r="U447" s="530" t="s">
        <v>61</v>
      </c>
    </row>
    <row r="448" spans="1:21" ht="13.8" x14ac:dyDescent="0.3">
      <c r="A448" s="530" t="str">
        <f t="shared" si="12"/>
        <v>Conwy.2019.Vehicle Days.Day Visitor</v>
      </c>
      <c r="B448" s="530" t="s">
        <v>219</v>
      </c>
      <c r="C448" s="530" t="str">
        <f t="shared" si="13"/>
        <v>2019.Vehicle Days.Day Visitor</v>
      </c>
      <c r="D448" s="530" t="s">
        <v>239</v>
      </c>
      <c r="E448" s="530" t="s">
        <v>21</v>
      </c>
      <c r="F448" s="530" t="s">
        <v>71</v>
      </c>
      <c r="G448" s="530" t="s">
        <v>71</v>
      </c>
      <c r="H448" s="530">
        <v>15.18522370007982</v>
      </c>
      <c r="I448" s="530">
        <v>95.343061523479605</v>
      </c>
      <c r="J448" s="530">
        <v>64.191316163624762</v>
      </c>
      <c r="K448" s="530">
        <v>188.73171956053415</v>
      </c>
      <c r="L448" s="530">
        <v>187.84073815945783</v>
      </c>
      <c r="M448" s="530">
        <v>198.04906175547265</v>
      </c>
      <c r="N448" s="530">
        <v>255.65373753378125</v>
      </c>
      <c r="O448" s="530">
        <v>322.57884018850365</v>
      </c>
      <c r="P448" s="530">
        <v>173.59210983474176</v>
      </c>
      <c r="Q448" s="530">
        <v>101.96435976257263</v>
      </c>
      <c r="R448" s="530">
        <v>36.418836750576091</v>
      </c>
      <c r="S448" s="530">
        <v>10.77189910678365</v>
      </c>
      <c r="T448" s="530">
        <v>1650.3209040396077</v>
      </c>
      <c r="U448" s="530" t="s">
        <v>61</v>
      </c>
    </row>
    <row r="449" spans="1:21" ht="13.8" x14ac:dyDescent="0.3">
      <c r="A449" s="530" t="str">
        <f t="shared" si="12"/>
        <v>Conwy.2019.Vehicle Days.Total</v>
      </c>
      <c r="B449" s="530" t="s">
        <v>219</v>
      </c>
      <c r="C449" s="530" t="str">
        <f t="shared" si="13"/>
        <v>2019.Vehicle Days.Total</v>
      </c>
      <c r="D449" s="530" t="s">
        <v>239</v>
      </c>
      <c r="E449" s="530" t="s">
        <v>21</v>
      </c>
      <c r="F449" s="530" t="s">
        <v>54</v>
      </c>
      <c r="G449" s="530" t="s">
        <v>54</v>
      </c>
      <c r="H449" s="530">
        <v>96.937366259070913</v>
      </c>
      <c r="I449" s="530">
        <v>175.66712083829694</v>
      </c>
      <c r="J449" s="530">
        <v>281.79772981026986</v>
      </c>
      <c r="K449" s="530">
        <v>486.96828040068436</v>
      </c>
      <c r="L449" s="530">
        <v>525.01756923155949</v>
      </c>
      <c r="M449" s="530">
        <v>532.7070734517838</v>
      </c>
      <c r="N449" s="530">
        <v>649.00398386074903</v>
      </c>
      <c r="O449" s="530">
        <v>709.20467294070181</v>
      </c>
      <c r="P449" s="530">
        <v>472.31078148764539</v>
      </c>
      <c r="Q449" s="530">
        <v>378.12944851923169</v>
      </c>
      <c r="R449" s="530">
        <v>180.42146343119009</v>
      </c>
      <c r="S449" s="530">
        <v>86.297435320352378</v>
      </c>
      <c r="T449" s="530">
        <v>4574.4629255515356</v>
      </c>
      <c r="U449" s="530" t="s">
        <v>61</v>
      </c>
    </row>
    <row r="450" spans="1:21" ht="13.8" x14ac:dyDescent="0.3">
      <c r="A450" s="530" t="str">
        <f t="shared" si="12"/>
        <v>Conwy.2019.Vehicle Numbers.Serviced Accommodation</v>
      </c>
      <c r="B450" s="530" t="s">
        <v>219</v>
      </c>
      <c r="C450" s="530" t="str">
        <f t="shared" si="13"/>
        <v>2019.Vehicle Numbers.Serviced Accommodation</v>
      </c>
      <c r="D450" s="530" t="s">
        <v>239</v>
      </c>
      <c r="E450" s="530" t="s">
        <v>22</v>
      </c>
      <c r="F450" s="530" t="s">
        <v>43</v>
      </c>
      <c r="G450" s="530" t="s">
        <v>43</v>
      </c>
      <c r="H450" s="530">
        <v>23.778712984609637</v>
      </c>
      <c r="I450" s="530">
        <v>27.083902136627092</v>
      </c>
      <c r="J450" s="530">
        <v>16.352767476797386</v>
      </c>
      <c r="K450" s="530">
        <v>20.554568551578122</v>
      </c>
      <c r="L450" s="530">
        <v>30.904515509518202</v>
      </c>
      <c r="M450" s="530">
        <v>27.067767904250896</v>
      </c>
      <c r="N450" s="530">
        <v>24.825961119303109</v>
      </c>
      <c r="O450" s="530">
        <v>28.209658139231784</v>
      </c>
      <c r="P450" s="530">
        <v>22.302192706710876</v>
      </c>
      <c r="Q450" s="530">
        <v>20.467254299876739</v>
      </c>
      <c r="R450" s="530">
        <v>27.650197726521498</v>
      </c>
      <c r="S450" s="530">
        <v>16.689500119728642</v>
      </c>
      <c r="T450" s="530">
        <v>285.88699867475401</v>
      </c>
      <c r="U450" s="530" t="s">
        <v>61</v>
      </c>
    </row>
    <row r="451" spans="1:21" ht="13.8" x14ac:dyDescent="0.3">
      <c r="A451" s="530" t="str">
        <f t="shared" si="12"/>
        <v>Conwy.2019.Vehicle Numbers.Non-Serviced Accommodation</v>
      </c>
      <c r="B451" s="530" t="s">
        <v>219</v>
      </c>
      <c r="C451" s="530" t="str">
        <f t="shared" si="13"/>
        <v>2019.Vehicle Numbers.Non-Serviced Accommodation</v>
      </c>
      <c r="D451" s="530" t="s">
        <v>239</v>
      </c>
      <c r="E451" s="530" t="s">
        <v>22</v>
      </c>
      <c r="F451" s="530" t="s">
        <v>48</v>
      </c>
      <c r="G451" s="530" t="s">
        <v>48</v>
      </c>
      <c r="H451" s="530">
        <v>7.8226263423709428</v>
      </c>
      <c r="I451" s="530">
        <v>8.4524362277190903</v>
      </c>
      <c r="J451" s="530">
        <v>36.802216362170881</v>
      </c>
      <c r="K451" s="530">
        <v>38.06799749741397</v>
      </c>
      <c r="L451" s="530">
        <v>38.795738312457843</v>
      </c>
      <c r="M451" s="530">
        <v>39.699118188596991</v>
      </c>
      <c r="N451" s="530">
        <v>47.241506575929357</v>
      </c>
      <c r="O451" s="530">
        <v>42.280457322626638</v>
      </c>
      <c r="P451" s="530">
        <v>35.785273435814673</v>
      </c>
      <c r="Q451" s="530">
        <v>33.349931938428504</v>
      </c>
      <c r="R451" s="530">
        <v>19.912168416327429</v>
      </c>
      <c r="S451" s="530">
        <v>5.5887248670119281</v>
      </c>
      <c r="T451" s="530">
        <v>353.79819548686822</v>
      </c>
      <c r="U451" s="530" t="s">
        <v>61</v>
      </c>
    </row>
    <row r="452" spans="1:21" ht="13.8" x14ac:dyDescent="0.3">
      <c r="A452" s="530" t="str">
        <f t="shared" si="12"/>
        <v>Conwy.2019.Vehicle Numbers.SFR</v>
      </c>
      <c r="B452" s="530" t="s">
        <v>219</v>
      </c>
      <c r="C452" s="530" t="str">
        <f t="shared" si="13"/>
        <v>2019.Vehicle Numbers.SFR</v>
      </c>
      <c r="D452" s="530" t="s">
        <v>239</v>
      </c>
      <c r="E452" s="530" t="s">
        <v>22</v>
      </c>
      <c r="F452" s="530" t="s">
        <v>18</v>
      </c>
      <c r="G452" s="530" t="s">
        <v>18</v>
      </c>
      <c r="H452" s="530">
        <v>7.5102368181818173</v>
      </c>
      <c r="I452" s="530">
        <v>3.0040947272727268</v>
      </c>
      <c r="J452" s="530">
        <v>3.33788303030303</v>
      </c>
      <c r="K452" s="530">
        <v>6.3419777575757559</v>
      </c>
      <c r="L452" s="530">
        <v>5.0068245454545455</v>
      </c>
      <c r="M452" s="530">
        <v>4.0405074081818171</v>
      </c>
      <c r="N452" s="530">
        <v>5.5075069999999986</v>
      </c>
      <c r="O452" s="530">
        <v>5.605974549393939</v>
      </c>
      <c r="P452" s="530">
        <v>3.4597157609090909</v>
      </c>
      <c r="Q452" s="530">
        <v>3.5047771818181808</v>
      </c>
      <c r="R452" s="530">
        <v>2.878924113636363</v>
      </c>
      <c r="S452" s="530">
        <v>6.5088719090909102</v>
      </c>
      <c r="T452" s="530">
        <v>56.707294801818179</v>
      </c>
      <c r="U452" s="530" t="s">
        <v>61</v>
      </c>
    </row>
    <row r="453" spans="1:21" ht="13.8" x14ac:dyDescent="0.3">
      <c r="A453" s="530" t="str">
        <f t="shared" si="12"/>
        <v>Conwy.2019.Vehicle Numbers.Day Visitor</v>
      </c>
      <c r="B453" s="530" t="s">
        <v>219</v>
      </c>
      <c r="C453" s="530" t="str">
        <f t="shared" si="13"/>
        <v>2019.Vehicle Numbers.Day Visitor</v>
      </c>
      <c r="D453" s="530" t="s">
        <v>239</v>
      </c>
      <c r="E453" s="530" t="s">
        <v>22</v>
      </c>
      <c r="F453" s="530" t="s">
        <v>71</v>
      </c>
      <c r="G453" s="530" t="s">
        <v>71</v>
      </c>
      <c r="H453" s="530">
        <v>15.18522370007982</v>
      </c>
      <c r="I453" s="530">
        <v>95.343061523479605</v>
      </c>
      <c r="J453" s="530">
        <v>64.191316163624762</v>
      </c>
      <c r="K453" s="530">
        <v>188.73171956053415</v>
      </c>
      <c r="L453" s="530">
        <v>187.84073815945783</v>
      </c>
      <c r="M453" s="530">
        <v>198.04906175547265</v>
      </c>
      <c r="N453" s="530">
        <v>255.65373753378125</v>
      </c>
      <c r="O453" s="530">
        <v>322.57884018850365</v>
      </c>
      <c r="P453" s="530">
        <v>173.59210983474176</v>
      </c>
      <c r="Q453" s="530">
        <v>101.96435976257263</v>
      </c>
      <c r="R453" s="530">
        <v>36.418836750576091</v>
      </c>
      <c r="S453" s="530">
        <v>10.77189910678365</v>
      </c>
      <c r="T453" s="530">
        <v>1650.3209040396077</v>
      </c>
      <c r="U453" s="530" t="s">
        <v>61</v>
      </c>
    </row>
    <row r="454" spans="1:21" ht="13.8" x14ac:dyDescent="0.3">
      <c r="A454" s="530" t="str">
        <f t="shared" si="12"/>
        <v>Conwy.2019.Vehicle Numbers.Total</v>
      </c>
      <c r="B454" s="530" t="s">
        <v>219</v>
      </c>
      <c r="C454" s="530" t="str">
        <f t="shared" si="13"/>
        <v>2019.Vehicle Numbers.Total</v>
      </c>
      <c r="D454" s="530" t="s">
        <v>239</v>
      </c>
      <c r="E454" s="530" t="s">
        <v>22</v>
      </c>
      <c r="F454" s="530" t="s">
        <v>54</v>
      </c>
      <c r="G454" s="530" t="s">
        <v>54</v>
      </c>
      <c r="H454" s="530">
        <v>54.296799845242219</v>
      </c>
      <c r="I454" s="530">
        <v>133.88349461509853</v>
      </c>
      <c r="J454" s="530">
        <v>120.68418303289606</v>
      </c>
      <c r="K454" s="530">
        <v>253.69626336710201</v>
      </c>
      <c r="L454" s="530">
        <v>262.54781652688843</v>
      </c>
      <c r="M454" s="530">
        <v>268.85645525650239</v>
      </c>
      <c r="N454" s="530">
        <v>333.22871222901369</v>
      </c>
      <c r="O454" s="530">
        <v>398.67493019975598</v>
      </c>
      <c r="P454" s="530">
        <v>235.13929173817641</v>
      </c>
      <c r="Q454" s="530">
        <v>159.28632318269604</v>
      </c>
      <c r="R454" s="530">
        <v>86.860127007061379</v>
      </c>
      <c r="S454" s="530">
        <v>39.558996002615132</v>
      </c>
      <c r="T454" s="530">
        <v>2346.7133930030477</v>
      </c>
      <c r="U454" s="530" t="s">
        <v>61</v>
      </c>
    </row>
    <row r="455" spans="1:21" ht="13.8" x14ac:dyDescent="0.3">
      <c r="A455" s="530" t="str">
        <f t="shared" si="12"/>
        <v>Conwy.2019.Accommodation.Serviced Accommodation</v>
      </c>
      <c r="B455" s="530" t="s">
        <v>219</v>
      </c>
      <c r="C455" s="530" t="str">
        <f t="shared" si="13"/>
        <v>2019.Accommodation.Serviced Accommodation</v>
      </c>
      <c r="D455" s="530" t="s">
        <v>239</v>
      </c>
      <c r="E455" s="530" t="s">
        <v>23</v>
      </c>
      <c r="F455" s="530" t="s">
        <v>43</v>
      </c>
      <c r="G455" s="530" t="s">
        <v>43</v>
      </c>
      <c r="H455" s="530">
        <v>7712</v>
      </c>
      <c r="I455" s="530">
        <v>8389</v>
      </c>
      <c r="J455" s="530">
        <v>8992</v>
      </c>
      <c r="K455" s="530">
        <v>9293</v>
      </c>
      <c r="L455" s="530">
        <v>9293</v>
      </c>
      <c r="M455" s="530">
        <v>9293</v>
      </c>
      <c r="N455" s="530">
        <v>9293</v>
      </c>
      <c r="O455" s="530">
        <v>9293</v>
      </c>
      <c r="P455" s="530">
        <v>9293</v>
      </c>
      <c r="Q455" s="530">
        <v>9236</v>
      </c>
      <c r="R455" s="530">
        <v>8953</v>
      </c>
      <c r="S455" s="530">
        <v>8382</v>
      </c>
      <c r="T455" s="530">
        <v>9293</v>
      </c>
      <c r="U455" s="530" t="s">
        <v>58</v>
      </c>
    </row>
    <row r="456" spans="1:21" ht="13.8" x14ac:dyDescent="0.3">
      <c r="A456" s="530" t="str">
        <f t="shared" si="12"/>
        <v>Conwy.2019.Accommodation.Non-Serviced Accommodation</v>
      </c>
      <c r="B456" s="530" t="s">
        <v>219</v>
      </c>
      <c r="C456" s="530" t="str">
        <f t="shared" si="13"/>
        <v>2019.Accommodation.Non-Serviced Accommodation</v>
      </c>
      <c r="D456" s="530" t="s">
        <v>239</v>
      </c>
      <c r="E456" s="530" t="s">
        <v>23</v>
      </c>
      <c r="F456" s="530" t="s">
        <v>48</v>
      </c>
      <c r="G456" s="530" t="s">
        <v>48</v>
      </c>
      <c r="H456" s="530">
        <v>6767.4321225367748</v>
      </c>
      <c r="I456" s="530">
        <v>6559.1893080011296</v>
      </c>
      <c r="J456" s="530">
        <v>42272.594384915028</v>
      </c>
      <c r="K456" s="530">
        <v>49180.437618547512</v>
      </c>
      <c r="L456" s="530">
        <v>49084.162687533877</v>
      </c>
      <c r="M456" s="530">
        <v>49483.066981016265</v>
      </c>
      <c r="N456" s="530">
        <v>49491.044469854605</v>
      </c>
      <c r="O456" s="530">
        <v>49397.183580538505</v>
      </c>
      <c r="P456" s="530">
        <v>49746.415150744833</v>
      </c>
      <c r="Q456" s="530">
        <v>49658.805179861898</v>
      </c>
      <c r="R456" s="530">
        <v>30012.561329071443</v>
      </c>
      <c r="S456" s="530">
        <v>10408.604830106291</v>
      </c>
      <c r="T456" s="530">
        <v>49746.415150744833</v>
      </c>
      <c r="U456" s="530" t="s">
        <v>58</v>
      </c>
    </row>
    <row r="457" spans="1:21" ht="13.8" x14ac:dyDescent="0.3">
      <c r="A457" s="530" t="str">
        <f t="shared" ref="A457:A520" si="14">B457&amp;"."&amp;D457&amp;"."&amp;E457&amp;"."&amp;F457</f>
        <v>Conwy.2019.Accommodation.Total</v>
      </c>
      <c r="B457" s="530" t="s">
        <v>219</v>
      </c>
      <c r="C457" s="530" t="str">
        <f t="shared" ref="C457:C520" si="15">D457&amp;"."&amp;E457&amp;"."&amp;F457</f>
        <v>2019.Accommodation.Total</v>
      </c>
      <c r="D457" s="530" t="s">
        <v>239</v>
      </c>
      <c r="E457" s="530" t="s">
        <v>23</v>
      </c>
      <c r="F457" s="530" t="s">
        <v>54</v>
      </c>
      <c r="G457" s="530" t="s">
        <v>54</v>
      </c>
      <c r="H457" s="530">
        <v>14479.432122536775</v>
      </c>
      <c r="I457" s="530">
        <v>14948.189308001129</v>
      </c>
      <c r="J457" s="530">
        <v>51264.594384915028</v>
      </c>
      <c r="K457" s="530">
        <v>58473.437618547512</v>
      </c>
      <c r="L457" s="530">
        <v>58377.162687533877</v>
      </c>
      <c r="M457" s="530">
        <v>58776.066981016265</v>
      </c>
      <c r="N457" s="530">
        <v>58784.044469854605</v>
      </c>
      <c r="O457" s="530">
        <v>58690.183580538505</v>
      </c>
      <c r="P457" s="530">
        <v>59039.415150744833</v>
      </c>
      <c r="Q457" s="530">
        <v>58894.805179861898</v>
      </c>
      <c r="R457" s="530">
        <v>38965.561329071439</v>
      </c>
      <c r="S457" s="530">
        <v>18790.604830106291</v>
      </c>
      <c r="T457" s="530">
        <v>59039.415150744833</v>
      </c>
      <c r="U457" s="530" t="s">
        <v>58</v>
      </c>
    </row>
    <row r="458" spans="1:21" ht="13.8" x14ac:dyDescent="0.3">
      <c r="A458" s="530" t="str">
        <f t="shared" si="14"/>
        <v>Conwy.2019.Economic Impact.Total</v>
      </c>
      <c r="B458" s="530" t="s">
        <v>219</v>
      </c>
      <c r="C458" s="530" t="str">
        <f t="shared" si="15"/>
        <v>2019.Economic Impact.Total</v>
      </c>
      <c r="D458" s="530" t="s">
        <v>239</v>
      </c>
      <c r="E458" s="530" t="s">
        <v>17</v>
      </c>
      <c r="F458" s="530" t="s">
        <v>54</v>
      </c>
      <c r="G458" s="530" t="s">
        <v>54</v>
      </c>
      <c r="H458" s="530">
        <v>25994.367699826194</v>
      </c>
      <c r="I458" s="530">
        <v>37229.721939831601</v>
      </c>
      <c r="J458" s="530">
        <v>54472.958441839808</v>
      </c>
      <c r="K458" s="530">
        <v>103352.81950426524</v>
      </c>
      <c r="L458" s="530">
        <v>111212.1893928342</v>
      </c>
      <c r="M458" s="530">
        <v>106252.6085531923</v>
      </c>
      <c r="N458" s="530">
        <v>145179.74572518189</v>
      </c>
      <c r="O458" s="530">
        <v>161833.04621644726</v>
      </c>
      <c r="P458" s="530">
        <v>110086.23613213253</v>
      </c>
      <c r="Q458" s="530">
        <v>74627.989081215506</v>
      </c>
      <c r="R458" s="530">
        <v>40610.191879586011</v>
      </c>
      <c r="S458" s="530">
        <v>25331.714772574862</v>
      </c>
      <c r="T458" s="530">
        <v>996183.5893389273</v>
      </c>
      <c r="U458" s="530" t="s">
        <v>57</v>
      </c>
    </row>
    <row r="459" spans="1:21" ht="13.8" x14ac:dyDescent="0.3">
      <c r="A459" s="530" t="str">
        <f t="shared" si="14"/>
        <v>Conwy.2020.Economic Impact.Indirect Expenditure</v>
      </c>
      <c r="B459" s="530" t="s">
        <v>219</v>
      </c>
      <c r="C459" s="530" t="str">
        <f t="shared" si="15"/>
        <v>2020.Economic Impact.Indirect Expenditure</v>
      </c>
      <c r="D459" s="530" t="s">
        <v>240</v>
      </c>
      <c r="E459" s="530" t="s">
        <v>17</v>
      </c>
      <c r="F459" s="530" t="s">
        <v>45</v>
      </c>
      <c r="G459" s="530" t="s">
        <v>45</v>
      </c>
      <c r="H459" s="530">
        <v>6427.1054766154275</v>
      </c>
      <c r="I459" s="530">
        <v>10044.908345116988</v>
      </c>
      <c r="J459" s="530">
        <v>9705.336656952637</v>
      </c>
      <c r="K459" s="530">
        <v>0</v>
      </c>
      <c r="L459" s="530">
        <v>0</v>
      </c>
      <c r="M459" s="530">
        <v>176.6068864819575</v>
      </c>
      <c r="N459" s="530">
        <v>11577.336138623246</v>
      </c>
      <c r="O459" s="530">
        <v>28641.874647301505</v>
      </c>
      <c r="P459" s="530">
        <v>23149.072320071682</v>
      </c>
      <c r="Q459" s="530">
        <v>181.15446495091876</v>
      </c>
      <c r="R459" s="530">
        <v>3143.4236895497188</v>
      </c>
      <c r="S459" s="530">
        <v>1612.6277012681944</v>
      </c>
      <c r="T459" s="530">
        <v>94659.446326932273</v>
      </c>
      <c r="U459" s="530" t="s">
        <v>57</v>
      </c>
    </row>
    <row r="460" spans="1:21" ht="13.8" x14ac:dyDescent="0.3">
      <c r="A460" s="530" t="str">
        <f t="shared" si="14"/>
        <v>Conwy.2020.Economic Impact.Direct Revenue</v>
      </c>
      <c r="B460" s="530" t="s">
        <v>219</v>
      </c>
      <c r="C460" s="530" t="str">
        <f t="shared" si="15"/>
        <v>2020.Economic Impact.Direct Revenue</v>
      </c>
      <c r="D460" s="530" t="s">
        <v>240</v>
      </c>
      <c r="E460" s="530" t="s">
        <v>17</v>
      </c>
      <c r="F460" s="530" t="s">
        <v>46</v>
      </c>
      <c r="G460" s="530" t="s">
        <v>46</v>
      </c>
      <c r="H460" s="530">
        <v>16828.338325210116</v>
      </c>
      <c r="I460" s="530">
        <v>25530.114707597044</v>
      </c>
      <c r="J460" s="530">
        <v>23445.196198137255</v>
      </c>
      <c r="K460" s="530">
        <v>0</v>
      </c>
      <c r="L460" s="530">
        <v>0</v>
      </c>
      <c r="M460" s="530">
        <v>422.06023917875325</v>
      </c>
      <c r="N460" s="530">
        <v>27233.584436069417</v>
      </c>
      <c r="O460" s="530">
        <v>74836.457786814019</v>
      </c>
      <c r="P460" s="530">
        <v>61039.686684713721</v>
      </c>
      <c r="Q460" s="530">
        <v>446.21255928624623</v>
      </c>
      <c r="R460" s="530">
        <v>8522.3135593289662</v>
      </c>
      <c r="S460" s="530">
        <v>3850.3136780267846</v>
      </c>
      <c r="T460" s="530">
        <v>242154.27817436232</v>
      </c>
      <c r="U460" s="530" t="s">
        <v>57</v>
      </c>
    </row>
    <row r="461" spans="1:21" ht="13.8" x14ac:dyDescent="0.3">
      <c r="A461" s="530" t="str">
        <f t="shared" si="14"/>
        <v>Conwy.2020.Economic Impact.VAT</v>
      </c>
      <c r="B461" s="530" t="s">
        <v>219</v>
      </c>
      <c r="C461" s="530" t="str">
        <f t="shared" si="15"/>
        <v>2020.Economic Impact.VAT</v>
      </c>
      <c r="D461" s="530" t="s">
        <v>240</v>
      </c>
      <c r="E461" s="530" t="s">
        <v>17</v>
      </c>
      <c r="F461" s="530" t="s">
        <v>47</v>
      </c>
      <c r="G461" s="530" t="s">
        <v>47</v>
      </c>
      <c r="H461" s="530">
        <v>3365.6676650420231</v>
      </c>
      <c r="I461" s="530">
        <v>5106.022941519409</v>
      </c>
      <c r="J461" s="530">
        <v>4689.039239627451</v>
      </c>
      <c r="K461" s="530">
        <v>0</v>
      </c>
      <c r="L461" s="530">
        <v>0</v>
      </c>
      <c r="M461" s="530">
        <v>84.412047835750656</v>
      </c>
      <c r="N461" s="530">
        <v>4520.596766705572</v>
      </c>
      <c r="O461" s="530">
        <v>9411.6454850139598</v>
      </c>
      <c r="P461" s="530">
        <v>7367.7329752362166</v>
      </c>
      <c r="Q461" s="530">
        <v>73.301249004315281</v>
      </c>
      <c r="R461" s="530">
        <v>927.72151694482852</v>
      </c>
      <c r="S461" s="530">
        <v>397.92945293150012</v>
      </c>
      <c r="T461" s="530">
        <v>35944.069339861031</v>
      </c>
      <c r="U461" s="530" t="s">
        <v>57</v>
      </c>
    </row>
    <row r="462" spans="1:21" ht="13.8" x14ac:dyDescent="0.3">
      <c r="A462" s="530" t="str">
        <f t="shared" si="14"/>
        <v>Conwy.2020.Economic Impact.Serviced Accommodation</v>
      </c>
      <c r="B462" s="530" t="s">
        <v>219</v>
      </c>
      <c r="C462" s="530" t="str">
        <f t="shared" si="15"/>
        <v>2020.Economic Impact.Serviced Accommodation</v>
      </c>
      <c r="D462" s="530" t="s">
        <v>240</v>
      </c>
      <c r="E462" s="530" t="s">
        <v>17</v>
      </c>
      <c r="F462" s="530" t="s">
        <v>43</v>
      </c>
      <c r="G462" s="530" t="s">
        <v>43</v>
      </c>
      <c r="H462" s="530">
        <v>14148.450724442579</v>
      </c>
      <c r="I462" s="530">
        <v>14651.721880356437</v>
      </c>
      <c r="J462" s="530">
        <v>5365.5206857952908</v>
      </c>
      <c r="K462" s="530">
        <v>0</v>
      </c>
      <c r="L462" s="530">
        <v>0</v>
      </c>
      <c r="M462" s="530">
        <v>0</v>
      </c>
      <c r="N462" s="530">
        <v>899.4135188564577</v>
      </c>
      <c r="O462" s="530">
        <v>20215.135523627767</v>
      </c>
      <c r="P462" s="530">
        <v>17733.982764707696</v>
      </c>
      <c r="Q462" s="530">
        <v>0</v>
      </c>
      <c r="R462" s="530">
        <v>4991.3561669228566</v>
      </c>
      <c r="S462" s="530">
        <v>1165.5375112248676</v>
      </c>
      <c r="T462" s="530">
        <v>79171.118775933952</v>
      </c>
      <c r="U462" s="530" t="s">
        <v>57</v>
      </c>
    </row>
    <row r="463" spans="1:21" ht="13.8" x14ac:dyDescent="0.3">
      <c r="A463" s="530" t="str">
        <f t="shared" si="14"/>
        <v>Conwy.2020.Economic Impact.Non-Serviced Accommodation</v>
      </c>
      <c r="B463" s="530" t="s">
        <v>219</v>
      </c>
      <c r="C463" s="530" t="str">
        <f t="shared" si="15"/>
        <v>2020.Economic Impact.Non-Serviced Accommodation</v>
      </c>
      <c r="D463" s="530" t="s">
        <v>240</v>
      </c>
      <c r="E463" s="530" t="s">
        <v>17</v>
      </c>
      <c r="F463" s="530" t="s">
        <v>48</v>
      </c>
      <c r="G463" s="530" t="s">
        <v>48</v>
      </c>
      <c r="H463" s="530">
        <v>6798.3611179287227</v>
      </c>
      <c r="I463" s="530">
        <v>6828.0115211982775</v>
      </c>
      <c r="J463" s="530">
        <v>22360.1976397242</v>
      </c>
      <c r="K463" s="530">
        <v>0</v>
      </c>
      <c r="L463" s="530">
        <v>0</v>
      </c>
      <c r="M463" s="530">
        <v>0</v>
      </c>
      <c r="N463" s="530">
        <v>21785.942842976514</v>
      </c>
      <c r="O463" s="530">
        <v>48982.12970276257</v>
      </c>
      <c r="P463" s="530">
        <v>46129.269694249524</v>
      </c>
      <c r="Q463" s="530">
        <v>0</v>
      </c>
      <c r="R463" s="530">
        <v>4521.1777653106419</v>
      </c>
      <c r="S463" s="530">
        <v>3713.5973539086453</v>
      </c>
      <c r="T463" s="530">
        <v>161118.68763805911</v>
      </c>
      <c r="U463" s="530" t="s">
        <v>57</v>
      </c>
    </row>
    <row r="464" spans="1:21" ht="13.8" x14ac:dyDescent="0.3">
      <c r="A464" s="530" t="str">
        <f t="shared" si="14"/>
        <v>Conwy.2020.Economic Impact.SFR</v>
      </c>
      <c r="B464" s="530" t="s">
        <v>219</v>
      </c>
      <c r="C464" s="530" t="str">
        <f t="shared" si="15"/>
        <v>2020.Economic Impact.SFR</v>
      </c>
      <c r="D464" s="530" t="s">
        <v>240</v>
      </c>
      <c r="E464" s="530" t="s">
        <v>17</v>
      </c>
      <c r="F464" s="530" t="s">
        <v>18</v>
      </c>
      <c r="G464" s="530" t="s">
        <v>18</v>
      </c>
      <c r="H464" s="530">
        <v>2156.7039398228044</v>
      </c>
      <c r="I464" s="530">
        <v>724.65252378046216</v>
      </c>
      <c r="J464" s="530">
        <v>451.40867849084094</v>
      </c>
      <c r="K464" s="530">
        <v>0</v>
      </c>
      <c r="L464" s="530">
        <v>0</v>
      </c>
      <c r="M464" s="530">
        <v>0</v>
      </c>
      <c r="N464" s="530">
        <v>158.15828892033895</v>
      </c>
      <c r="O464" s="530">
        <v>167.4254061159865</v>
      </c>
      <c r="P464" s="530">
        <v>0</v>
      </c>
      <c r="Q464" s="530">
        <v>0</v>
      </c>
      <c r="R464" s="530">
        <v>0</v>
      </c>
      <c r="S464" s="530">
        <v>0</v>
      </c>
      <c r="T464" s="530">
        <v>3658.3488371304329</v>
      </c>
      <c r="U464" s="530" t="s">
        <v>57</v>
      </c>
    </row>
    <row r="465" spans="1:21" ht="13.8" x14ac:dyDescent="0.3">
      <c r="A465" s="530" t="str">
        <f t="shared" si="14"/>
        <v>Conwy.2020.Economic Impact.Day Visitor</v>
      </c>
      <c r="B465" s="530" t="s">
        <v>219</v>
      </c>
      <c r="C465" s="530" t="str">
        <f t="shared" si="15"/>
        <v>2020.Economic Impact.Day Visitor</v>
      </c>
      <c r="D465" s="530" t="s">
        <v>240</v>
      </c>
      <c r="E465" s="530" t="s">
        <v>17</v>
      </c>
      <c r="F465" s="530" t="s">
        <v>71</v>
      </c>
      <c r="G465" s="530" t="s">
        <v>71</v>
      </c>
      <c r="H465" s="530">
        <v>3517.5956846734543</v>
      </c>
      <c r="I465" s="530">
        <v>18476.660068898262</v>
      </c>
      <c r="J465" s="530">
        <v>9662.4450907070059</v>
      </c>
      <c r="K465" s="530">
        <v>0</v>
      </c>
      <c r="L465" s="530">
        <v>0</v>
      </c>
      <c r="M465" s="530">
        <v>683.07917349646141</v>
      </c>
      <c r="N465" s="530">
        <v>20488.002690644924</v>
      </c>
      <c r="O465" s="530">
        <v>43525.287286623163</v>
      </c>
      <c r="P465" s="530">
        <v>27693.239521064406</v>
      </c>
      <c r="Q465" s="530">
        <v>700.66827324148016</v>
      </c>
      <c r="R465" s="530">
        <v>3080.9248335900174</v>
      </c>
      <c r="S465" s="530">
        <v>981.73596709296544</v>
      </c>
      <c r="T465" s="530">
        <v>128809.63859003215</v>
      </c>
      <c r="U465" s="530" t="s">
        <v>57</v>
      </c>
    </row>
    <row r="466" spans="1:21" ht="13.8" x14ac:dyDescent="0.3">
      <c r="A466" s="530" t="str">
        <f t="shared" si="14"/>
        <v>Conwy.2020.Economic Impact.Accommodation</v>
      </c>
      <c r="B466" s="530" t="s">
        <v>219</v>
      </c>
      <c r="C466" s="530" t="str">
        <f t="shared" si="15"/>
        <v>2020.Economic Impact.Accommodation</v>
      </c>
      <c r="D466" s="530" t="s">
        <v>240</v>
      </c>
      <c r="E466" s="530" t="s">
        <v>17</v>
      </c>
      <c r="F466" s="530" t="s">
        <v>23</v>
      </c>
      <c r="G466" s="530" t="s">
        <v>23</v>
      </c>
      <c r="H466" s="530">
        <v>7522.2296704417704</v>
      </c>
      <c r="I466" s="530">
        <v>7625.4009086382439</v>
      </c>
      <c r="J466" s="530">
        <v>6053.4289694555146</v>
      </c>
      <c r="K466" s="530">
        <v>0</v>
      </c>
      <c r="L466" s="530">
        <v>0</v>
      </c>
      <c r="M466" s="530">
        <v>0</v>
      </c>
      <c r="N466" s="530">
        <v>6435.2848546859632</v>
      </c>
      <c r="O466" s="530">
        <v>20534.367227776631</v>
      </c>
      <c r="P466" s="530">
        <v>18836.376588076309</v>
      </c>
      <c r="Q466" s="530">
        <v>0</v>
      </c>
      <c r="R466" s="530">
        <v>3611.3916188034914</v>
      </c>
      <c r="S466" s="530">
        <v>1811.2914156689844</v>
      </c>
      <c r="T466" s="530">
        <v>72429.771253546904</v>
      </c>
      <c r="U466" s="530" t="s">
        <v>57</v>
      </c>
    </row>
    <row r="467" spans="1:21" ht="13.8" x14ac:dyDescent="0.3">
      <c r="A467" s="530" t="str">
        <f t="shared" si="14"/>
        <v>Conwy.2020.Economic Impact.Food &amp; Drink</v>
      </c>
      <c r="B467" s="530" t="s">
        <v>219</v>
      </c>
      <c r="C467" s="530" t="str">
        <f t="shared" si="15"/>
        <v>2020.Economic Impact.Food &amp; Drink</v>
      </c>
      <c r="D467" s="530" t="s">
        <v>240</v>
      </c>
      <c r="E467" s="530" t="s">
        <v>17</v>
      </c>
      <c r="F467" s="530" t="s">
        <v>49</v>
      </c>
      <c r="G467" s="530" t="s">
        <v>49</v>
      </c>
      <c r="H467" s="530">
        <v>2932.2728954737472</v>
      </c>
      <c r="I467" s="530">
        <v>4759.2262548061708</v>
      </c>
      <c r="J467" s="530">
        <v>5350.6149645185487</v>
      </c>
      <c r="K467" s="530">
        <v>0</v>
      </c>
      <c r="L467" s="530">
        <v>0</v>
      </c>
      <c r="M467" s="530">
        <v>97.41276253094523</v>
      </c>
      <c r="N467" s="530">
        <v>6042.3049974613359</v>
      </c>
      <c r="O467" s="530">
        <v>16972.029529457901</v>
      </c>
      <c r="P467" s="530">
        <v>13739.276150099864</v>
      </c>
      <c r="Q467" s="530">
        <v>110.25778120503963</v>
      </c>
      <c r="R467" s="530">
        <v>1533.3644290752457</v>
      </c>
      <c r="S467" s="530">
        <v>661.27294613071888</v>
      </c>
      <c r="T467" s="530">
        <v>52198.032710759508</v>
      </c>
      <c r="U467" s="530" t="s">
        <v>57</v>
      </c>
    </row>
    <row r="468" spans="1:21" ht="13.8" x14ac:dyDescent="0.3">
      <c r="A468" s="530" t="str">
        <f t="shared" si="14"/>
        <v>Conwy.2020.Economic Impact.Recreation</v>
      </c>
      <c r="B468" s="530" t="s">
        <v>219</v>
      </c>
      <c r="C468" s="530" t="str">
        <f t="shared" si="15"/>
        <v>2020.Economic Impact.Recreation</v>
      </c>
      <c r="D468" s="530" t="s">
        <v>240</v>
      </c>
      <c r="E468" s="530" t="s">
        <v>17</v>
      </c>
      <c r="F468" s="530" t="s">
        <v>50</v>
      </c>
      <c r="G468" s="530" t="s">
        <v>50</v>
      </c>
      <c r="H468" s="530">
        <v>943.8965701551657</v>
      </c>
      <c r="I468" s="530">
        <v>1505.0979380448018</v>
      </c>
      <c r="J468" s="530">
        <v>1926.906250417303</v>
      </c>
      <c r="K468" s="530">
        <v>0</v>
      </c>
      <c r="L468" s="530">
        <v>0</v>
      </c>
      <c r="M468" s="530">
        <v>27.779304904261952</v>
      </c>
      <c r="N468" s="530">
        <v>1841.6728942162445</v>
      </c>
      <c r="O468" s="530">
        <v>5032.3348099407731</v>
      </c>
      <c r="P468" s="530">
        <v>4169.5938365230841</v>
      </c>
      <c r="Q468" s="530">
        <v>31.442333043262256</v>
      </c>
      <c r="R468" s="530">
        <v>555.81292292867499</v>
      </c>
      <c r="S468" s="530">
        <v>231.52323452269567</v>
      </c>
      <c r="T468" s="530">
        <v>16266.060094696268</v>
      </c>
      <c r="U468" s="530" t="s">
        <v>57</v>
      </c>
    </row>
    <row r="469" spans="1:21" ht="13.8" x14ac:dyDescent="0.3">
      <c r="A469" s="530" t="str">
        <f t="shared" si="14"/>
        <v>Conwy.2020.Economic Impact.Shopping</v>
      </c>
      <c r="B469" s="530" t="s">
        <v>219</v>
      </c>
      <c r="C469" s="530" t="str">
        <f t="shared" si="15"/>
        <v>2020.Economic Impact.Shopping</v>
      </c>
      <c r="D469" s="530" t="s">
        <v>240</v>
      </c>
      <c r="E469" s="530" t="s">
        <v>17</v>
      </c>
      <c r="F469" s="530" t="s">
        <v>51</v>
      </c>
      <c r="G469" s="530" t="s">
        <v>51</v>
      </c>
      <c r="H469" s="530">
        <v>4109.2302093347589</v>
      </c>
      <c r="I469" s="530">
        <v>9214.4827843070361</v>
      </c>
      <c r="J469" s="530">
        <v>7572.7020716026591</v>
      </c>
      <c r="K469" s="530">
        <v>0</v>
      </c>
      <c r="L469" s="530">
        <v>0</v>
      </c>
      <c r="M469" s="530">
        <v>243.1615155953063</v>
      </c>
      <c r="N469" s="530">
        <v>10139.062575988013</v>
      </c>
      <c r="O469" s="530">
        <v>25017.694837937823</v>
      </c>
      <c r="P469" s="530">
        <v>18537.910158671712</v>
      </c>
      <c r="Q469" s="530">
        <v>249.42285735172857</v>
      </c>
      <c r="R469" s="530">
        <v>2137.9441077357274</v>
      </c>
      <c r="S469" s="530">
        <v>865.13927253275676</v>
      </c>
      <c r="T469" s="530">
        <v>78086.750391057532</v>
      </c>
      <c r="U469" s="530" t="s">
        <v>57</v>
      </c>
    </row>
    <row r="470" spans="1:21" ht="13.8" x14ac:dyDescent="0.3">
      <c r="A470" s="530" t="str">
        <f t="shared" si="14"/>
        <v>Conwy.2020.Economic Impact.Transport</v>
      </c>
      <c r="B470" s="530" t="s">
        <v>219</v>
      </c>
      <c r="C470" s="530" t="str">
        <f t="shared" si="15"/>
        <v>2020.Economic Impact.Transport</v>
      </c>
      <c r="D470" s="530" t="s">
        <v>240</v>
      </c>
      <c r="E470" s="530" t="s">
        <v>17</v>
      </c>
      <c r="F470" s="530" t="s">
        <v>52</v>
      </c>
      <c r="G470" s="530" t="s">
        <v>52</v>
      </c>
      <c r="H470" s="530">
        <v>1320.7089798046716</v>
      </c>
      <c r="I470" s="530">
        <v>2425.9068218007901</v>
      </c>
      <c r="J470" s="530">
        <v>2541.5439421432297</v>
      </c>
      <c r="K470" s="530">
        <v>0</v>
      </c>
      <c r="L470" s="530">
        <v>0</v>
      </c>
      <c r="M470" s="530">
        <v>53.706656148239766</v>
      </c>
      <c r="N470" s="530">
        <v>2775.2591137178597</v>
      </c>
      <c r="O470" s="530">
        <v>7280.031381700891</v>
      </c>
      <c r="P470" s="530">
        <v>5756.5299513427544</v>
      </c>
      <c r="Q470" s="530">
        <v>55.089587686215744</v>
      </c>
      <c r="R470" s="530">
        <v>683.80048078582774</v>
      </c>
      <c r="S470" s="530">
        <v>281.08680917162883</v>
      </c>
      <c r="T470" s="530">
        <v>23173.663724302107</v>
      </c>
      <c r="U470" s="530" t="s">
        <v>57</v>
      </c>
    </row>
    <row r="471" spans="1:21" ht="13.8" x14ac:dyDescent="0.3">
      <c r="A471" s="530" t="str">
        <f t="shared" si="14"/>
        <v>Conwy.2020.Economic Impact.Direct Expenditure</v>
      </c>
      <c r="B471" s="530" t="s">
        <v>219</v>
      </c>
      <c r="C471" s="530" t="str">
        <f t="shared" si="15"/>
        <v>2020.Economic Impact.Direct Expenditure</v>
      </c>
      <c r="D471" s="530" t="s">
        <v>240</v>
      </c>
      <c r="E471" s="530" t="s">
        <v>17</v>
      </c>
      <c r="F471" s="530" t="s">
        <v>44</v>
      </c>
      <c r="G471" s="530" t="s">
        <v>44</v>
      </c>
      <c r="H471" s="530">
        <v>20194.005990252132</v>
      </c>
      <c r="I471" s="530">
        <v>30636.137649116448</v>
      </c>
      <c r="J471" s="530">
        <v>28134.235437764703</v>
      </c>
      <c r="K471" s="530">
        <v>0</v>
      </c>
      <c r="L471" s="530">
        <v>0</v>
      </c>
      <c r="M471" s="530">
        <v>506.47228701450388</v>
      </c>
      <c r="N471" s="530">
        <v>31754.181202774991</v>
      </c>
      <c r="O471" s="530">
        <v>84248.103271827975</v>
      </c>
      <c r="P471" s="530">
        <v>68407.419659949941</v>
      </c>
      <c r="Q471" s="530">
        <v>519.51380829056143</v>
      </c>
      <c r="R471" s="530">
        <v>9450.0350762737962</v>
      </c>
      <c r="S471" s="530">
        <v>4248.2431309582844</v>
      </c>
      <c r="T471" s="530">
        <v>278098.34751422337</v>
      </c>
      <c r="U471" s="530" t="s">
        <v>57</v>
      </c>
    </row>
    <row r="472" spans="1:21" ht="13.8" x14ac:dyDescent="0.3">
      <c r="A472" s="530" t="str">
        <f t="shared" si="14"/>
        <v>Conwy.2020.Population.Total</v>
      </c>
      <c r="B472" s="530" t="s">
        <v>219</v>
      </c>
      <c r="C472" s="530" t="str">
        <f t="shared" si="15"/>
        <v>2020.Population.Total</v>
      </c>
      <c r="D472" s="530" t="s">
        <v>240</v>
      </c>
      <c r="E472" s="530" t="s">
        <v>19</v>
      </c>
      <c r="F472" s="530" t="s">
        <v>54</v>
      </c>
      <c r="G472" s="530" t="s">
        <v>54</v>
      </c>
      <c r="H472" s="530">
        <v>117203</v>
      </c>
      <c r="I472" s="530">
        <v>117203</v>
      </c>
      <c r="J472" s="530">
        <v>117203</v>
      </c>
      <c r="K472" s="530">
        <v>117203</v>
      </c>
      <c r="L472" s="530">
        <v>117203</v>
      </c>
      <c r="M472" s="530">
        <v>117203</v>
      </c>
      <c r="N472" s="530">
        <v>117203</v>
      </c>
      <c r="O472" s="530">
        <v>117203</v>
      </c>
      <c r="P472" s="530">
        <v>117203</v>
      </c>
      <c r="Q472" s="530">
        <v>117203</v>
      </c>
      <c r="R472" s="530">
        <v>117203</v>
      </c>
      <c r="S472" s="530">
        <v>117203</v>
      </c>
      <c r="T472" s="530">
        <v>117203</v>
      </c>
      <c r="U472" s="530" t="s">
        <v>60</v>
      </c>
    </row>
    <row r="473" spans="1:21" ht="13.8" x14ac:dyDescent="0.3">
      <c r="A473" s="530" t="str">
        <f t="shared" si="14"/>
        <v>Conwy.2020.Employment.Serviced Accommodation</v>
      </c>
      <c r="B473" s="530" t="s">
        <v>219</v>
      </c>
      <c r="C473" s="530" t="str">
        <f t="shared" si="15"/>
        <v>2020.Employment.Serviced Accommodation</v>
      </c>
      <c r="D473" s="530" t="s">
        <v>240</v>
      </c>
      <c r="E473" s="530" t="s">
        <v>20</v>
      </c>
      <c r="F473" s="530" t="s">
        <v>43</v>
      </c>
      <c r="G473" s="530" t="s">
        <v>43</v>
      </c>
      <c r="H473" s="530">
        <v>2229.0226842692564</v>
      </c>
      <c r="I473" s="530">
        <v>2339.4656169158343</v>
      </c>
      <c r="J473" s="530">
        <v>1536.0790571504733</v>
      </c>
      <c r="K473" s="530">
        <v>0</v>
      </c>
      <c r="L473" s="530">
        <v>0</v>
      </c>
      <c r="M473" s="530">
        <v>0</v>
      </c>
      <c r="N473" s="530">
        <v>240.06073797489614</v>
      </c>
      <c r="O473" s="530">
        <v>2565.8969275967042</v>
      </c>
      <c r="P473" s="530">
        <v>2455.1673021775823</v>
      </c>
      <c r="Q473" s="530">
        <v>0</v>
      </c>
      <c r="R473" s="530">
        <v>1284.0852997199668</v>
      </c>
      <c r="S473" s="530">
        <v>751.61343532273645</v>
      </c>
      <c r="T473" s="530">
        <v>1116.7825884272877</v>
      </c>
      <c r="U473" s="530" t="s">
        <v>59</v>
      </c>
    </row>
    <row r="474" spans="1:21" ht="13.8" x14ac:dyDescent="0.3">
      <c r="A474" s="530" t="str">
        <f t="shared" si="14"/>
        <v>Conwy.2020.Employment.Non-Serviced Accommodation</v>
      </c>
      <c r="B474" s="530" t="s">
        <v>219</v>
      </c>
      <c r="C474" s="530" t="str">
        <f t="shared" si="15"/>
        <v>2020.Employment.Non-Serviced Accommodation</v>
      </c>
      <c r="D474" s="530" t="s">
        <v>240</v>
      </c>
      <c r="E474" s="530" t="s">
        <v>20</v>
      </c>
      <c r="F474" s="530" t="s">
        <v>48</v>
      </c>
      <c r="G474" s="530" t="s">
        <v>48</v>
      </c>
      <c r="H474" s="530">
        <v>1534.916628699626</v>
      </c>
      <c r="I474" s="530">
        <v>1574.6921762576017</v>
      </c>
      <c r="J474" s="530">
        <v>2789.704795109667</v>
      </c>
      <c r="K474" s="530">
        <v>0</v>
      </c>
      <c r="L474" s="530">
        <v>0</v>
      </c>
      <c r="M474" s="530">
        <v>0</v>
      </c>
      <c r="N474" s="530">
        <v>2760.0614481226812</v>
      </c>
      <c r="O474" s="530">
        <v>6500.4947427494008</v>
      </c>
      <c r="P474" s="530">
        <v>5941.7650483781235</v>
      </c>
      <c r="Q474" s="530">
        <v>0</v>
      </c>
      <c r="R474" s="530">
        <v>1076.4493328397029</v>
      </c>
      <c r="S474" s="530">
        <v>963.85522289199923</v>
      </c>
      <c r="T474" s="530">
        <v>1928.4949495874</v>
      </c>
      <c r="U474" s="530" t="s">
        <v>59</v>
      </c>
    </row>
    <row r="475" spans="1:21" ht="13.8" x14ac:dyDescent="0.3">
      <c r="A475" s="530" t="str">
        <f t="shared" si="14"/>
        <v>Conwy.2020.Employment.SFR</v>
      </c>
      <c r="B475" s="530" t="s">
        <v>219</v>
      </c>
      <c r="C475" s="530" t="str">
        <f t="shared" si="15"/>
        <v>2020.Employment.SFR</v>
      </c>
      <c r="D475" s="530" t="s">
        <v>240</v>
      </c>
      <c r="E475" s="530" t="s">
        <v>20</v>
      </c>
      <c r="F475" s="530" t="s">
        <v>18</v>
      </c>
      <c r="G475" s="530" t="s">
        <v>18</v>
      </c>
      <c r="H475" s="530">
        <v>247.65958744777345</v>
      </c>
      <c r="I475" s="530">
        <v>83.213621382451862</v>
      </c>
      <c r="J475" s="530">
        <v>51.836362433024277</v>
      </c>
      <c r="K475" s="530">
        <v>0</v>
      </c>
      <c r="L475" s="530">
        <v>0</v>
      </c>
      <c r="M475" s="530">
        <v>0</v>
      </c>
      <c r="N475" s="530">
        <v>24.850410280118737</v>
      </c>
      <c r="O475" s="530">
        <v>23.834823601327194</v>
      </c>
      <c r="P475" s="530">
        <v>0</v>
      </c>
      <c r="Q475" s="530">
        <v>0</v>
      </c>
      <c r="R475" s="530">
        <v>0</v>
      </c>
      <c r="S475" s="530">
        <v>0</v>
      </c>
      <c r="T475" s="530">
        <v>35.949567095391295</v>
      </c>
      <c r="U475" s="530" t="s">
        <v>59</v>
      </c>
    </row>
    <row r="476" spans="1:21" ht="13.8" x14ac:dyDescent="0.3">
      <c r="A476" s="530" t="str">
        <f t="shared" si="14"/>
        <v>Conwy.2020.Employment.Day Visitor</v>
      </c>
      <c r="B476" s="530" t="s">
        <v>219</v>
      </c>
      <c r="C476" s="530" t="str">
        <f t="shared" si="15"/>
        <v>2020.Employment.Day Visitor</v>
      </c>
      <c r="D476" s="530" t="s">
        <v>240</v>
      </c>
      <c r="E476" s="530" t="s">
        <v>20</v>
      </c>
      <c r="F476" s="530" t="s">
        <v>71</v>
      </c>
      <c r="G476" s="530" t="s">
        <v>71</v>
      </c>
      <c r="H476" s="530">
        <v>374.87617387243711</v>
      </c>
      <c r="I476" s="530">
        <v>1969.0891886038964</v>
      </c>
      <c r="J476" s="530">
        <v>1029.7432594766826</v>
      </c>
      <c r="K476" s="530">
        <v>0</v>
      </c>
      <c r="L476" s="530">
        <v>0</v>
      </c>
      <c r="M476" s="530">
        <v>241.48127495869326</v>
      </c>
      <c r="N476" s="530">
        <v>2732.9726236594283</v>
      </c>
      <c r="O476" s="530">
        <v>5395.7204986556399</v>
      </c>
      <c r="P476" s="530">
        <v>3433.061318446742</v>
      </c>
      <c r="Q476" s="530">
        <v>98.826903754568022</v>
      </c>
      <c r="R476" s="530">
        <v>434.55408733673738</v>
      </c>
      <c r="S476" s="530">
        <v>138.4705568063539</v>
      </c>
      <c r="T476" s="530">
        <v>1320.732990464265</v>
      </c>
      <c r="U476" s="530" t="s">
        <v>59</v>
      </c>
    </row>
    <row r="477" spans="1:21" ht="13.8" x14ac:dyDescent="0.3">
      <c r="A477" s="530" t="str">
        <f t="shared" si="14"/>
        <v>Conwy.2020.Employment.Direct Employment</v>
      </c>
      <c r="B477" s="530" t="s">
        <v>219</v>
      </c>
      <c r="C477" s="530" t="str">
        <f t="shared" si="15"/>
        <v>2020.Employment.Direct Employment</v>
      </c>
      <c r="D477" s="530" t="s">
        <v>240</v>
      </c>
      <c r="E477" s="530" t="s">
        <v>20</v>
      </c>
      <c r="F477" s="530" t="s">
        <v>55</v>
      </c>
      <c r="G477" s="530" t="s">
        <v>55</v>
      </c>
      <c r="H477" s="530">
        <v>4386.4750742890928</v>
      </c>
      <c r="I477" s="530">
        <v>5966.4606031597841</v>
      </c>
      <c r="J477" s="530">
        <v>5407.363474169847</v>
      </c>
      <c r="K477" s="530">
        <v>0</v>
      </c>
      <c r="L477" s="530">
        <v>0</v>
      </c>
      <c r="M477" s="530">
        <v>241.48127495869326</v>
      </c>
      <c r="N477" s="530">
        <v>5757.9452200371252</v>
      </c>
      <c r="O477" s="530">
        <v>14485.946992603072</v>
      </c>
      <c r="P477" s="530">
        <v>11829.993669002448</v>
      </c>
      <c r="Q477" s="530">
        <v>98.826903754568022</v>
      </c>
      <c r="R477" s="530">
        <v>2795.0887198964069</v>
      </c>
      <c r="S477" s="530">
        <v>1853.9392150210895</v>
      </c>
      <c r="T477" s="530">
        <v>4401.9600955743435</v>
      </c>
      <c r="U477" s="530" t="s">
        <v>59</v>
      </c>
    </row>
    <row r="478" spans="1:21" ht="13.8" x14ac:dyDescent="0.3">
      <c r="A478" s="530" t="str">
        <f t="shared" si="14"/>
        <v>Conwy.2020.Employment.Indirect Employment</v>
      </c>
      <c r="B478" s="530" t="s">
        <v>219</v>
      </c>
      <c r="C478" s="530" t="str">
        <f t="shared" si="15"/>
        <v>2020.Employment.Indirect Employment</v>
      </c>
      <c r="D478" s="530" t="s">
        <v>240</v>
      </c>
      <c r="E478" s="530" t="s">
        <v>20</v>
      </c>
      <c r="F478" s="530" t="s">
        <v>53</v>
      </c>
      <c r="G478" s="530" t="s">
        <v>53</v>
      </c>
      <c r="H478" s="530">
        <v>786.47825570958219</v>
      </c>
      <c r="I478" s="530">
        <v>1229.1850542634163</v>
      </c>
      <c r="J478" s="530">
        <v>1187.6320176799095</v>
      </c>
      <c r="K478" s="530">
        <v>0</v>
      </c>
      <c r="L478" s="530">
        <v>0</v>
      </c>
      <c r="M478" s="530">
        <v>58.892392099939102</v>
      </c>
      <c r="N478" s="530">
        <v>1684.2500618037866</v>
      </c>
      <c r="O478" s="530">
        <v>4070.5833960429259</v>
      </c>
      <c r="P478" s="530">
        <v>3304.6225980890385</v>
      </c>
      <c r="Q478" s="530">
        <v>26.756360607754953</v>
      </c>
      <c r="R478" s="530">
        <v>486.73947385256457</v>
      </c>
      <c r="S478" s="530">
        <v>251.44442837619235</v>
      </c>
      <c r="T478" s="530">
        <v>1090.5486698770926</v>
      </c>
      <c r="U478" s="530" t="s">
        <v>59</v>
      </c>
    </row>
    <row r="479" spans="1:21" ht="13.8" x14ac:dyDescent="0.3">
      <c r="A479" s="530" t="str">
        <f t="shared" si="14"/>
        <v>Conwy.2020.Employment.Total</v>
      </c>
      <c r="B479" s="530" t="s">
        <v>219</v>
      </c>
      <c r="C479" s="530" t="str">
        <f t="shared" si="15"/>
        <v>2020.Employment.Total</v>
      </c>
      <c r="D479" s="530" t="s">
        <v>240</v>
      </c>
      <c r="E479" s="530" t="s">
        <v>20</v>
      </c>
      <c r="F479" s="530" t="s">
        <v>54</v>
      </c>
      <c r="G479" s="530" t="s">
        <v>54</v>
      </c>
      <c r="H479" s="530">
        <v>5172.9533299986751</v>
      </c>
      <c r="I479" s="530">
        <v>7195.6456574232006</v>
      </c>
      <c r="J479" s="530">
        <v>6594.9954918497569</v>
      </c>
      <c r="K479" s="530">
        <v>0</v>
      </c>
      <c r="L479" s="530">
        <v>0</v>
      </c>
      <c r="M479" s="530">
        <v>300.37366705863235</v>
      </c>
      <c r="N479" s="530">
        <v>7442.1952818409118</v>
      </c>
      <c r="O479" s="530">
        <v>18556.530388645999</v>
      </c>
      <c r="P479" s="530">
        <v>15134.616267091485</v>
      </c>
      <c r="Q479" s="530">
        <v>125.58326436232298</v>
      </c>
      <c r="R479" s="530">
        <v>3281.8281937489714</v>
      </c>
      <c r="S479" s="530">
        <v>2105.383643397282</v>
      </c>
      <c r="T479" s="530">
        <v>5492.5087654514364</v>
      </c>
      <c r="U479" s="530" t="s">
        <v>59</v>
      </c>
    </row>
    <row r="480" spans="1:21" ht="13.8" x14ac:dyDescent="0.3">
      <c r="A480" s="530" t="str">
        <f t="shared" si="14"/>
        <v>Conwy.2020.Employment.Accommodation</v>
      </c>
      <c r="B480" s="530" t="s">
        <v>219</v>
      </c>
      <c r="C480" s="530" t="str">
        <f t="shared" si="15"/>
        <v>2020.Employment.Accommodation</v>
      </c>
      <c r="D480" s="530" t="s">
        <v>240</v>
      </c>
      <c r="E480" s="530" t="s">
        <v>20</v>
      </c>
      <c r="F480" s="530" t="s">
        <v>23</v>
      </c>
      <c r="G480" s="530" t="s">
        <v>23</v>
      </c>
      <c r="H480" s="530">
        <v>2738.9108287126041</v>
      </c>
      <c r="I480" s="530">
        <v>2844.9626211431591</v>
      </c>
      <c r="J480" s="530">
        <v>2334.1080000000002</v>
      </c>
      <c r="K480" s="530">
        <v>0</v>
      </c>
      <c r="L480" s="530">
        <v>0</v>
      </c>
      <c r="M480" s="530">
        <v>0</v>
      </c>
      <c r="N480" s="530">
        <v>1075.46208</v>
      </c>
      <c r="O480" s="530">
        <v>3417.8332796138225</v>
      </c>
      <c r="P480" s="530">
        <v>3143.1930590456495</v>
      </c>
      <c r="Q480" s="530">
        <v>0</v>
      </c>
      <c r="R480" s="530">
        <v>1604.8416999999999</v>
      </c>
      <c r="S480" s="530">
        <v>1354.6512</v>
      </c>
      <c r="T480" s="530">
        <v>1542.830230709603</v>
      </c>
      <c r="U480" s="530" t="s">
        <v>59</v>
      </c>
    </row>
    <row r="481" spans="1:21" ht="13.8" x14ac:dyDescent="0.3">
      <c r="A481" s="530" t="str">
        <f t="shared" si="14"/>
        <v>Conwy.2020.Employment.Food &amp; Drink</v>
      </c>
      <c r="B481" s="530" t="s">
        <v>219</v>
      </c>
      <c r="C481" s="530" t="str">
        <f t="shared" si="15"/>
        <v>2020.Employment.Food &amp; Drink</v>
      </c>
      <c r="D481" s="530" t="s">
        <v>240</v>
      </c>
      <c r="E481" s="530" t="s">
        <v>20</v>
      </c>
      <c r="F481" s="530" t="s">
        <v>49</v>
      </c>
      <c r="G481" s="530" t="s">
        <v>49</v>
      </c>
      <c r="H481" s="530">
        <v>643.89809389561935</v>
      </c>
      <c r="I481" s="530">
        <v>1045.0789619949671</v>
      </c>
      <c r="J481" s="530">
        <v>1174.9420670023433</v>
      </c>
      <c r="K481" s="530">
        <v>0</v>
      </c>
      <c r="L481" s="530">
        <v>0</v>
      </c>
      <c r="M481" s="530">
        <v>34.965858461551441</v>
      </c>
      <c r="N481" s="530">
        <v>2056.3576305618694</v>
      </c>
      <c r="O481" s="530">
        <v>4783.5370748836422</v>
      </c>
      <c r="P481" s="530">
        <v>3872.3911440287548</v>
      </c>
      <c r="Q481" s="530">
        <v>39.576518227531203</v>
      </c>
      <c r="R481" s="530">
        <v>550.39403671557511</v>
      </c>
      <c r="S481" s="530">
        <v>237.36085126951059</v>
      </c>
      <c r="T481" s="530">
        <v>1203.2085197534473</v>
      </c>
      <c r="U481" s="530" t="s">
        <v>59</v>
      </c>
    </row>
    <row r="482" spans="1:21" ht="13.8" x14ac:dyDescent="0.3">
      <c r="A482" s="530" t="str">
        <f t="shared" si="14"/>
        <v>Conwy.2020.Employment.Recreation</v>
      </c>
      <c r="B482" s="530" t="s">
        <v>219</v>
      </c>
      <c r="C482" s="530" t="str">
        <f t="shared" si="15"/>
        <v>2020.Employment.Recreation</v>
      </c>
      <c r="D482" s="530" t="s">
        <v>240</v>
      </c>
      <c r="E482" s="530" t="s">
        <v>20</v>
      </c>
      <c r="F482" s="530" t="s">
        <v>50</v>
      </c>
      <c r="G482" s="530" t="s">
        <v>50</v>
      </c>
      <c r="H482" s="530">
        <v>200.26573392807663</v>
      </c>
      <c r="I482" s="530">
        <v>319.33535169709023</v>
      </c>
      <c r="J482" s="530">
        <v>408.83006322078592</v>
      </c>
      <c r="K482" s="530">
        <v>0</v>
      </c>
      <c r="L482" s="530">
        <v>0</v>
      </c>
      <c r="M482" s="530">
        <v>11.102360733099347</v>
      </c>
      <c r="N482" s="530">
        <v>683.94491350546753</v>
      </c>
      <c r="O482" s="530">
        <v>1456.4636189351418</v>
      </c>
      <c r="P482" s="530">
        <v>1206.7682215094003</v>
      </c>
      <c r="Q482" s="530">
        <v>12.56633760058517</v>
      </c>
      <c r="R482" s="530">
        <v>222.13786816263192</v>
      </c>
      <c r="S482" s="530">
        <v>92.531273789019963</v>
      </c>
      <c r="T482" s="530">
        <v>384.49547859010818</v>
      </c>
      <c r="U482" s="530" t="s">
        <v>59</v>
      </c>
    </row>
    <row r="483" spans="1:21" ht="13.8" x14ac:dyDescent="0.3">
      <c r="A483" s="530" t="str">
        <f t="shared" si="14"/>
        <v>Conwy.2020.Employment.Shopping</v>
      </c>
      <c r="B483" s="530" t="s">
        <v>219</v>
      </c>
      <c r="C483" s="530" t="str">
        <f t="shared" si="15"/>
        <v>2020.Employment.Shopping</v>
      </c>
      <c r="D483" s="530" t="s">
        <v>240</v>
      </c>
      <c r="E483" s="530" t="s">
        <v>20</v>
      </c>
      <c r="F483" s="530" t="s">
        <v>51</v>
      </c>
      <c r="G483" s="530" t="s">
        <v>51</v>
      </c>
      <c r="H483" s="530">
        <v>693.79857657438356</v>
      </c>
      <c r="I483" s="530">
        <v>1555.7646356971427</v>
      </c>
      <c r="J483" s="530">
        <v>1278.5679191603058</v>
      </c>
      <c r="K483" s="530">
        <v>0</v>
      </c>
      <c r="L483" s="530">
        <v>0</v>
      </c>
      <c r="M483" s="530">
        <v>179.39320942010596</v>
      </c>
      <c r="N483" s="530">
        <v>1711.86982102857</v>
      </c>
      <c r="O483" s="530">
        <v>4223.9641449884894</v>
      </c>
      <c r="P483" s="530">
        <v>3129.9233738555604</v>
      </c>
      <c r="Q483" s="530">
        <v>42.112321427657285</v>
      </c>
      <c r="R483" s="530">
        <v>360.96847905310455</v>
      </c>
      <c r="S483" s="530">
        <v>146.06930379765598</v>
      </c>
      <c r="T483" s="530">
        <v>1110.202648750248</v>
      </c>
      <c r="U483" s="530" t="s">
        <v>59</v>
      </c>
    </row>
    <row r="484" spans="1:21" ht="13.8" x14ac:dyDescent="0.3">
      <c r="A484" s="530" t="str">
        <f t="shared" si="14"/>
        <v>Conwy.2020.Employment.Transport</v>
      </c>
      <c r="B484" s="530" t="s">
        <v>219</v>
      </c>
      <c r="C484" s="530" t="str">
        <f t="shared" si="15"/>
        <v>2020.Employment.Transport</v>
      </c>
      <c r="D484" s="530" t="s">
        <v>240</v>
      </c>
      <c r="E484" s="530" t="s">
        <v>20</v>
      </c>
      <c r="F484" s="530" t="s">
        <v>52</v>
      </c>
      <c r="G484" s="530" t="s">
        <v>52</v>
      </c>
      <c r="H484" s="530">
        <v>109.60184117840967</v>
      </c>
      <c r="I484" s="530">
        <v>201.31903262742568</v>
      </c>
      <c r="J484" s="530">
        <v>210.91542478641227</v>
      </c>
      <c r="K484" s="530">
        <v>0</v>
      </c>
      <c r="L484" s="530">
        <v>0</v>
      </c>
      <c r="M484" s="530">
        <v>16.019846343936496</v>
      </c>
      <c r="N484" s="530">
        <v>230.31077494121763</v>
      </c>
      <c r="O484" s="530">
        <v>604.14887418197668</v>
      </c>
      <c r="P484" s="530">
        <v>477.71787056308108</v>
      </c>
      <c r="Q484" s="530">
        <v>4.5717264987943667</v>
      </c>
      <c r="R484" s="530">
        <v>56.746635965095578</v>
      </c>
      <c r="S484" s="530">
        <v>23.326586164903002</v>
      </c>
      <c r="T484" s="530">
        <v>161.22321777093768</v>
      </c>
      <c r="U484" s="530" t="s">
        <v>59</v>
      </c>
    </row>
    <row r="485" spans="1:21" ht="13.8" x14ac:dyDescent="0.3">
      <c r="A485" s="530" t="str">
        <f t="shared" si="14"/>
        <v>Conwy.2020.Visitor Days.Serviced Accommodation</v>
      </c>
      <c r="B485" s="530" t="s">
        <v>219</v>
      </c>
      <c r="C485" s="530" t="str">
        <f t="shared" si="15"/>
        <v>2020.Visitor Days.Serviced Accommodation</v>
      </c>
      <c r="D485" s="530" t="s">
        <v>240</v>
      </c>
      <c r="E485" s="530" t="s">
        <v>171</v>
      </c>
      <c r="F485" s="530" t="s">
        <v>43</v>
      </c>
      <c r="G485" s="530" t="s">
        <v>43</v>
      </c>
      <c r="H485" s="530">
        <v>140.8518702543642</v>
      </c>
      <c r="I485" s="530">
        <v>146.12113459909131</v>
      </c>
      <c r="J485" s="530">
        <v>53.451794149858856</v>
      </c>
      <c r="K485" s="530">
        <v>0</v>
      </c>
      <c r="L485" s="530">
        <v>0</v>
      </c>
      <c r="M485" s="530">
        <v>0</v>
      </c>
      <c r="N485" s="530">
        <v>7.0426822295447371</v>
      </c>
      <c r="O485" s="530">
        <v>155.82535224060791</v>
      </c>
      <c r="P485" s="530">
        <v>136.82488910722873</v>
      </c>
      <c r="Q485" s="530">
        <v>0</v>
      </c>
      <c r="R485" s="530">
        <v>49.648645424045739</v>
      </c>
      <c r="S485" s="530">
        <v>11.600344798056778</v>
      </c>
      <c r="T485" s="530">
        <v>701.36671280279825</v>
      </c>
      <c r="U485" s="530" t="s">
        <v>61</v>
      </c>
    </row>
    <row r="486" spans="1:21" ht="13.8" x14ac:dyDescent="0.3">
      <c r="A486" s="530" t="str">
        <f t="shared" si="14"/>
        <v>Conwy.2020.Visitor Days.Non-Serviced Accommodation</v>
      </c>
      <c r="B486" s="530" t="s">
        <v>219</v>
      </c>
      <c r="C486" s="530" t="str">
        <f t="shared" si="15"/>
        <v>2020.Visitor Days.Non-Serviced Accommodation</v>
      </c>
      <c r="D486" s="530" t="s">
        <v>240</v>
      </c>
      <c r="E486" s="530" t="s">
        <v>171</v>
      </c>
      <c r="F486" s="530" t="s">
        <v>48</v>
      </c>
      <c r="G486" s="530" t="s">
        <v>48</v>
      </c>
      <c r="H486" s="530">
        <v>86.780935588434645</v>
      </c>
      <c r="I486" s="530">
        <v>92.743222370077191</v>
      </c>
      <c r="J486" s="530">
        <v>416.39692923121157</v>
      </c>
      <c r="K486" s="530">
        <v>0</v>
      </c>
      <c r="L486" s="530">
        <v>0</v>
      </c>
      <c r="M486" s="530">
        <v>0</v>
      </c>
      <c r="N486" s="530">
        <v>339.2399020129784</v>
      </c>
      <c r="O486" s="530">
        <v>945.8580456132961</v>
      </c>
      <c r="P486" s="530">
        <v>888.99576967941255</v>
      </c>
      <c r="Q486" s="530">
        <v>0</v>
      </c>
      <c r="R486" s="530">
        <v>62.982957305518354</v>
      </c>
      <c r="S486" s="530">
        <v>44.60265017695356</v>
      </c>
      <c r="T486" s="530">
        <v>2877.6004119778822</v>
      </c>
      <c r="U486" s="530" t="s">
        <v>61</v>
      </c>
    </row>
    <row r="487" spans="1:21" ht="13.8" x14ac:dyDescent="0.3">
      <c r="A487" s="530" t="str">
        <f t="shared" si="14"/>
        <v>Conwy.2020.Visitor Days.SFR</v>
      </c>
      <c r="B487" s="530" t="s">
        <v>219</v>
      </c>
      <c r="C487" s="530" t="str">
        <f t="shared" si="15"/>
        <v>2020.Visitor Days.SFR</v>
      </c>
      <c r="D487" s="530" t="s">
        <v>240</v>
      </c>
      <c r="E487" s="530" t="s">
        <v>171</v>
      </c>
      <c r="F487" s="530" t="s">
        <v>18</v>
      </c>
      <c r="G487" s="530" t="s">
        <v>18</v>
      </c>
      <c r="H487" s="530">
        <v>59.933352272727269</v>
      </c>
      <c r="I487" s="530">
        <v>20.137606363636358</v>
      </c>
      <c r="J487" s="530">
        <v>12.544343638181818</v>
      </c>
      <c r="K487" s="530">
        <v>0</v>
      </c>
      <c r="L487" s="530">
        <v>0</v>
      </c>
      <c r="M487" s="530">
        <v>0</v>
      </c>
      <c r="N487" s="530">
        <v>4.3951124999999989</v>
      </c>
      <c r="O487" s="530">
        <v>4.6526394554545458</v>
      </c>
      <c r="P487" s="530">
        <v>0</v>
      </c>
      <c r="Q487" s="530">
        <v>0</v>
      </c>
      <c r="R487" s="530">
        <v>0</v>
      </c>
      <c r="S487" s="530">
        <v>0</v>
      </c>
      <c r="T487" s="530">
        <v>101.66305422999999</v>
      </c>
      <c r="U487" s="530" t="s">
        <v>61</v>
      </c>
    </row>
    <row r="488" spans="1:21" ht="13.8" x14ac:dyDescent="0.3">
      <c r="A488" s="530" t="str">
        <f t="shared" si="14"/>
        <v>Conwy.2020.Visitor Days.Day Visitor</v>
      </c>
      <c r="B488" s="530" t="s">
        <v>219</v>
      </c>
      <c r="C488" s="530" t="str">
        <f t="shared" si="15"/>
        <v>2020.Visitor Days.Day Visitor</v>
      </c>
      <c r="D488" s="530" t="s">
        <v>240</v>
      </c>
      <c r="E488" s="530" t="s">
        <v>171</v>
      </c>
      <c r="F488" s="530" t="s">
        <v>71</v>
      </c>
      <c r="G488" s="530" t="s">
        <v>71</v>
      </c>
      <c r="H488" s="530">
        <v>70.261671369983034</v>
      </c>
      <c r="I488" s="530">
        <v>369.05919103557591</v>
      </c>
      <c r="J488" s="530">
        <v>193.00101616334146</v>
      </c>
      <c r="K488" s="530">
        <v>5.2018784408773477</v>
      </c>
      <c r="L488" s="530">
        <v>6.9835785641729196</v>
      </c>
      <c r="M488" s="530">
        <v>13.644059383232785</v>
      </c>
      <c r="N488" s="530">
        <v>409.23444338687705</v>
      </c>
      <c r="O488" s="530">
        <v>869.38912420820543</v>
      </c>
      <c r="P488" s="530">
        <v>553.15433290903752</v>
      </c>
      <c r="Q488" s="530">
        <v>13.995390137748732</v>
      </c>
      <c r="R488" s="530">
        <v>61.539456941145552</v>
      </c>
      <c r="S488" s="530">
        <v>19.609533350442984</v>
      </c>
      <c r="T488" s="530">
        <v>2585.073675890641</v>
      </c>
      <c r="U488" s="530" t="s">
        <v>61</v>
      </c>
    </row>
    <row r="489" spans="1:21" ht="13.8" x14ac:dyDescent="0.3">
      <c r="A489" s="530" t="str">
        <f t="shared" si="14"/>
        <v>Conwy.2020.Visitor Days.Total</v>
      </c>
      <c r="B489" s="530" t="s">
        <v>219</v>
      </c>
      <c r="C489" s="530" t="str">
        <f t="shared" si="15"/>
        <v>2020.Visitor Days.Total</v>
      </c>
      <c r="D489" s="530" t="s">
        <v>240</v>
      </c>
      <c r="E489" s="530" t="s">
        <v>171</v>
      </c>
      <c r="F489" s="530" t="s">
        <v>54</v>
      </c>
      <c r="G489" s="530" t="s">
        <v>54</v>
      </c>
      <c r="H489" s="530">
        <v>357.8278294855092</v>
      </c>
      <c r="I489" s="530">
        <v>628.06115436838081</v>
      </c>
      <c r="J489" s="530">
        <v>675.3940831825937</v>
      </c>
      <c r="K489" s="530">
        <v>5.2018784408773477</v>
      </c>
      <c r="L489" s="530">
        <v>6.9835785641729196</v>
      </c>
      <c r="M489" s="530">
        <v>13.644059383232785</v>
      </c>
      <c r="N489" s="530">
        <v>759.91214012940009</v>
      </c>
      <c r="O489" s="530">
        <v>1975.7251615175639</v>
      </c>
      <c r="P489" s="530">
        <v>1578.9749916956787</v>
      </c>
      <c r="Q489" s="530">
        <v>13.995390137748732</v>
      </c>
      <c r="R489" s="530">
        <v>174.17105967070964</v>
      </c>
      <c r="S489" s="530">
        <v>75.812528325453329</v>
      </c>
      <c r="T489" s="530">
        <v>6265.7038549013214</v>
      </c>
      <c r="U489" s="530" t="s">
        <v>61</v>
      </c>
    </row>
    <row r="490" spans="1:21" ht="13.8" x14ac:dyDescent="0.3">
      <c r="A490" s="530" t="str">
        <f t="shared" si="14"/>
        <v>Conwy.2020.Visitor Numbers.Serviced Accommodation</v>
      </c>
      <c r="B490" s="530" t="s">
        <v>219</v>
      </c>
      <c r="C490" s="530" t="str">
        <f t="shared" si="15"/>
        <v>2020.Visitor Numbers.Serviced Accommodation</v>
      </c>
      <c r="D490" s="530" t="s">
        <v>240</v>
      </c>
      <c r="E490" s="530" t="s">
        <v>172</v>
      </c>
      <c r="F490" s="530" t="s">
        <v>43</v>
      </c>
      <c r="G490" s="530" t="s">
        <v>43</v>
      </c>
      <c r="H490" s="530">
        <v>92.382654330375544</v>
      </c>
      <c r="I490" s="530">
        <v>98.46520515456352</v>
      </c>
      <c r="J490" s="530">
        <v>25.874556892315638</v>
      </c>
      <c r="K490" s="530">
        <v>0</v>
      </c>
      <c r="L490" s="530">
        <v>0</v>
      </c>
      <c r="M490" s="530">
        <v>0</v>
      </c>
      <c r="N490" s="530">
        <v>3.9584619577001972</v>
      </c>
      <c r="O490" s="530">
        <v>86.655469781795006</v>
      </c>
      <c r="P490" s="530">
        <v>68.892311150092382</v>
      </c>
      <c r="Q490" s="530">
        <v>0</v>
      </c>
      <c r="R490" s="530">
        <v>28.674405584827806</v>
      </c>
      <c r="S490" s="530">
        <v>7.0889070726270678</v>
      </c>
      <c r="T490" s="530">
        <v>411.99197192429722</v>
      </c>
      <c r="U490" s="530" t="s">
        <v>61</v>
      </c>
    </row>
    <row r="491" spans="1:21" ht="13.8" x14ac:dyDescent="0.3">
      <c r="A491" s="530" t="str">
        <f t="shared" si="14"/>
        <v>Conwy.2020.Visitor Numbers.Non-Serviced Accommodation</v>
      </c>
      <c r="B491" s="530" t="s">
        <v>219</v>
      </c>
      <c r="C491" s="530" t="str">
        <f t="shared" si="15"/>
        <v>2020.Visitor Numbers.Non-Serviced Accommodation</v>
      </c>
      <c r="D491" s="530" t="s">
        <v>240</v>
      </c>
      <c r="E491" s="530" t="s">
        <v>172</v>
      </c>
      <c r="F491" s="530" t="s">
        <v>48</v>
      </c>
      <c r="G491" s="530" t="s">
        <v>48</v>
      </c>
      <c r="H491" s="530">
        <v>25.523804584833719</v>
      </c>
      <c r="I491" s="530">
        <v>23.185805592519298</v>
      </c>
      <c r="J491" s="530">
        <v>86.749360256502413</v>
      </c>
      <c r="K491" s="530">
        <v>0</v>
      </c>
      <c r="L491" s="530">
        <v>0</v>
      </c>
      <c r="M491" s="530">
        <v>0</v>
      </c>
      <c r="N491" s="530">
        <v>47.780267889151894</v>
      </c>
      <c r="O491" s="530">
        <v>124.4550060017495</v>
      </c>
      <c r="P491" s="530">
        <v>128.83996662020471</v>
      </c>
      <c r="Q491" s="530">
        <v>0</v>
      </c>
      <c r="R491" s="530">
        <v>13.996212734559634</v>
      </c>
      <c r="S491" s="530">
        <v>7.9647589601702791</v>
      </c>
      <c r="T491" s="530">
        <v>458.49518263969145</v>
      </c>
      <c r="U491" s="530" t="s">
        <v>61</v>
      </c>
    </row>
    <row r="492" spans="1:21" ht="13.8" x14ac:dyDescent="0.3">
      <c r="A492" s="530" t="str">
        <f t="shared" si="14"/>
        <v>Conwy.2020.Visitor Numbers.SFR</v>
      </c>
      <c r="B492" s="530" t="s">
        <v>219</v>
      </c>
      <c r="C492" s="530" t="str">
        <f t="shared" si="15"/>
        <v>2020.Visitor Numbers.SFR</v>
      </c>
      <c r="D492" s="530" t="s">
        <v>240</v>
      </c>
      <c r="E492" s="530" t="s">
        <v>172</v>
      </c>
      <c r="F492" s="530" t="s">
        <v>18</v>
      </c>
      <c r="G492" s="530" t="s">
        <v>18</v>
      </c>
      <c r="H492" s="530">
        <v>23.973340909090908</v>
      </c>
      <c r="I492" s="530">
        <v>9.5893363636363613</v>
      </c>
      <c r="J492" s="530">
        <v>7.8845654545454549</v>
      </c>
      <c r="K492" s="530">
        <v>0</v>
      </c>
      <c r="L492" s="530">
        <v>0</v>
      </c>
      <c r="M492" s="530">
        <v>0</v>
      </c>
      <c r="N492" s="530">
        <v>1.7580449999999996</v>
      </c>
      <c r="O492" s="530">
        <v>1.7894767136363636</v>
      </c>
      <c r="P492" s="530">
        <v>0</v>
      </c>
      <c r="Q492" s="530">
        <v>0</v>
      </c>
      <c r="R492" s="530">
        <v>0</v>
      </c>
      <c r="S492" s="530">
        <v>0</v>
      </c>
      <c r="T492" s="530">
        <v>44.994764440909087</v>
      </c>
      <c r="U492" s="530" t="s">
        <v>61</v>
      </c>
    </row>
    <row r="493" spans="1:21" ht="13.8" x14ac:dyDescent="0.3">
      <c r="A493" s="530" t="str">
        <f t="shared" si="14"/>
        <v>Conwy.2020.Visitor Numbers.Day Visitor</v>
      </c>
      <c r="B493" s="530" t="s">
        <v>219</v>
      </c>
      <c r="C493" s="530" t="str">
        <f t="shared" si="15"/>
        <v>2020.Visitor Numbers.Day Visitor</v>
      </c>
      <c r="D493" s="530" t="s">
        <v>240</v>
      </c>
      <c r="E493" s="530" t="s">
        <v>172</v>
      </c>
      <c r="F493" s="530" t="s">
        <v>71</v>
      </c>
      <c r="G493" s="530" t="s">
        <v>71</v>
      </c>
      <c r="H493" s="530">
        <v>70.261671369983034</v>
      </c>
      <c r="I493" s="530">
        <v>369.05919103557591</v>
      </c>
      <c r="J493" s="530">
        <v>193.00101616334146</v>
      </c>
      <c r="K493" s="530">
        <v>5.2018784408773477</v>
      </c>
      <c r="L493" s="530">
        <v>6.9835785641729196</v>
      </c>
      <c r="M493" s="530">
        <v>13.644059383232785</v>
      </c>
      <c r="N493" s="530">
        <v>409.23444338687705</v>
      </c>
      <c r="O493" s="530">
        <v>869.38912420820543</v>
      </c>
      <c r="P493" s="530">
        <v>553.15433290903752</v>
      </c>
      <c r="Q493" s="530">
        <v>13.995390137748732</v>
      </c>
      <c r="R493" s="530">
        <v>61.539456941145552</v>
      </c>
      <c r="S493" s="530">
        <v>19.609533350442984</v>
      </c>
      <c r="T493" s="530">
        <v>2585.073675890641</v>
      </c>
      <c r="U493" s="530" t="s">
        <v>61</v>
      </c>
    </row>
    <row r="494" spans="1:21" ht="13.8" x14ac:dyDescent="0.3">
      <c r="A494" s="530" t="str">
        <f t="shared" si="14"/>
        <v>Conwy.2020.Visitor Numbers.Total</v>
      </c>
      <c r="B494" s="530" t="s">
        <v>219</v>
      </c>
      <c r="C494" s="530" t="str">
        <f t="shared" si="15"/>
        <v>2020.Visitor Numbers.Total</v>
      </c>
      <c r="D494" s="530" t="s">
        <v>240</v>
      </c>
      <c r="E494" s="530" t="s">
        <v>172</v>
      </c>
      <c r="F494" s="530" t="s">
        <v>54</v>
      </c>
      <c r="G494" s="530" t="s">
        <v>54</v>
      </c>
      <c r="H494" s="530">
        <v>212.14147119428321</v>
      </c>
      <c r="I494" s="530">
        <v>500.29953814629505</v>
      </c>
      <c r="J494" s="530">
        <v>313.50949876670495</v>
      </c>
      <c r="K494" s="530">
        <v>5.2018784408773477</v>
      </c>
      <c r="L494" s="530">
        <v>6.9835785641729196</v>
      </c>
      <c r="M494" s="530">
        <v>13.644059383232785</v>
      </c>
      <c r="N494" s="530">
        <v>462.73121823372912</v>
      </c>
      <c r="O494" s="530">
        <v>1082.2890767053864</v>
      </c>
      <c r="P494" s="530">
        <v>750.88661067933458</v>
      </c>
      <c r="Q494" s="530">
        <v>13.995390137748732</v>
      </c>
      <c r="R494" s="530">
        <v>104.21007526053299</v>
      </c>
      <c r="S494" s="530">
        <v>34.663199383240332</v>
      </c>
      <c r="T494" s="530">
        <v>3500.5555948955389</v>
      </c>
      <c r="U494" s="530" t="s">
        <v>61</v>
      </c>
    </row>
    <row r="495" spans="1:21" ht="13.8" x14ac:dyDescent="0.3">
      <c r="A495" s="530" t="str">
        <f t="shared" si="14"/>
        <v>Conwy.2020.Vehicle Days.Serviced Accommodation</v>
      </c>
      <c r="B495" s="530" t="s">
        <v>219</v>
      </c>
      <c r="C495" s="530" t="str">
        <f t="shared" si="15"/>
        <v>2020.Vehicle Days.Serviced Accommodation</v>
      </c>
      <c r="D495" s="530" t="s">
        <v>240</v>
      </c>
      <c r="E495" s="530" t="s">
        <v>21</v>
      </c>
      <c r="F495" s="530" t="s">
        <v>43</v>
      </c>
      <c r="G495" s="530" t="s">
        <v>43</v>
      </c>
      <c r="H495" s="530">
        <v>36.143275962556245</v>
      </c>
      <c r="I495" s="530">
        <v>49.649383530490333</v>
      </c>
      <c r="J495" s="530">
        <v>18.990483365977166</v>
      </c>
      <c r="K495" s="530">
        <v>0</v>
      </c>
      <c r="L495" s="530">
        <v>0</v>
      </c>
      <c r="M495" s="530">
        <v>0</v>
      </c>
      <c r="N495" s="530">
        <v>1.8231510956248476</v>
      </c>
      <c r="O495" s="530">
        <v>40.391678829512607</v>
      </c>
      <c r="P495" s="530">
        <v>35.460265917444161</v>
      </c>
      <c r="Q495" s="530">
        <v>0</v>
      </c>
      <c r="R495" s="530">
        <v>15.657642665216882</v>
      </c>
      <c r="S495" s="530">
        <v>3.0097554005400129</v>
      </c>
      <c r="T495" s="530">
        <v>201.12563676736227</v>
      </c>
      <c r="U495" s="530" t="s">
        <v>61</v>
      </c>
    </row>
    <row r="496" spans="1:21" ht="13.8" x14ac:dyDescent="0.3">
      <c r="A496" s="530" t="str">
        <f t="shared" si="14"/>
        <v>Conwy.2020.Vehicle Days.Non-Serviced Accommodation</v>
      </c>
      <c r="B496" s="530" t="s">
        <v>219</v>
      </c>
      <c r="C496" s="530" t="str">
        <f t="shared" si="15"/>
        <v>2020.Vehicle Days.Non-Serviced Accommodation</v>
      </c>
      <c r="D496" s="530" t="s">
        <v>240</v>
      </c>
      <c r="E496" s="530" t="s">
        <v>21</v>
      </c>
      <c r="F496" s="530" t="s">
        <v>48</v>
      </c>
      <c r="G496" s="530" t="s">
        <v>48</v>
      </c>
      <c r="H496" s="530">
        <v>24.235478491979535</v>
      </c>
      <c r="I496" s="530">
        <v>32.18972389765063</v>
      </c>
      <c r="J496" s="530">
        <v>111.09387276623414</v>
      </c>
      <c r="K496" s="530">
        <v>0</v>
      </c>
      <c r="L496" s="530">
        <v>0</v>
      </c>
      <c r="M496" s="530">
        <v>0</v>
      </c>
      <c r="N496" s="530">
        <v>82.652308127284968</v>
      </c>
      <c r="O496" s="530">
        <v>230.65075484859094</v>
      </c>
      <c r="P496" s="530">
        <v>228.09553021955443</v>
      </c>
      <c r="Q496" s="530">
        <v>0</v>
      </c>
      <c r="R496" s="530">
        <v>17.563736176086511</v>
      </c>
      <c r="S496" s="530">
        <v>9.7660947213364224</v>
      </c>
      <c r="T496" s="530">
        <v>736.24749924871765</v>
      </c>
      <c r="U496" s="530" t="s">
        <v>61</v>
      </c>
    </row>
    <row r="497" spans="1:21" ht="13.8" x14ac:dyDescent="0.3">
      <c r="A497" s="530" t="str">
        <f t="shared" si="14"/>
        <v>Conwy.2020.Vehicle Days.SFR</v>
      </c>
      <c r="B497" s="530" t="s">
        <v>219</v>
      </c>
      <c r="C497" s="530" t="str">
        <f t="shared" si="15"/>
        <v>2020.Vehicle Days.SFR</v>
      </c>
      <c r="D497" s="530" t="s">
        <v>240</v>
      </c>
      <c r="E497" s="530" t="s">
        <v>21</v>
      </c>
      <c r="F497" s="530" t="s">
        <v>18</v>
      </c>
      <c r="G497" s="530" t="s">
        <v>18</v>
      </c>
      <c r="H497" s="530">
        <v>18.779117045454544</v>
      </c>
      <c r="I497" s="530">
        <v>6.3097833272727248</v>
      </c>
      <c r="J497" s="530">
        <v>3.9305610066303029</v>
      </c>
      <c r="K497" s="530">
        <v>0</v>
      </c>
      <c r="L497" s="530">
        <v>0</v>
      </c>
      <c r="M497" s="530">
        <v>0</v>
      </c>
      <c r="N497" s="530">
        <v>1.3771352499999996</v>
      </c>
      <c r="O497" s="530">
        <v>1.4578270293757576</v>
      </c>
      <c r="P497" s="530">
        <v>0</v>
      </c>
      <c r="Q497" s="530">
        <v>0</v>
      </c>
      <c r="R497" s="530">
        <v>0</v>
      </c>
      <c r="S497" s="530">
        <v>0</v>
      </c>
      <c r="T497" s="530">
        <v>31.854423658733328</v>
      </c>
      <c r="U497" s="530" t="s">
        <v>61</v>
      </c>
    </row>
    <row r="498" spans="1:21" ht="13.8" x14ac:dyDescent="0.3">
      <c r="A498" s="530" t="str">
        <f t="shared" si="14"/>
        <v>Conwy.2020.Vehicle Days.Day Visitor</v>
      </c>
      <c r="B498" s="530" t="s">
        <v>219</v>
      </c>
      <c r="C498" s="530" t="str">
        <f t="shared" si="15"/>
        <v>2020.Vehicle Days.Day Visitor</v>
      </c>
      <c r="D498" s="530" t="s">
        <v>240</v>
      </c>
      <c r="E498" s="530" t="s">
        <v>21</v>
      </c>
      <c r="F498" s="530" t="s">
        <v>71</v>
      </c>
      <c r="G498" s="530" t="s">
        <v>71</v>
      </c>
      <c r="H498" s="530">
        <v>15.457567701396268</v>
      </c>
      <c r="I498" s="530">
        <v>92.792025174659088</v>
      </c>
      <c r="J498" s="530">
        <v>48.525969778211568</v>
      </c>
      <c r="K498" s="530">
        <v>1.1444132569930165</v>
      </c>
      <c r="L498" s="530">
        <v>1.5363872841180424</v>
      </c>
      <c r="M498" s="530">
        <v>3.4305063592128144</v>
      </c>
      <c r="N498" s="530">
        <v>90.031577545112953</v>
      </c>
      <c r="O498" s="530">
        <v>191.26560732580521</v>
      </c>
      <c r="P498" s="530">
        <v>121.69395323998826</v>
      </c>
      <c r="Q498" s="530">
        <v>3.518840948919681</v>
      </c>
      <c r="R498" s="530">
        <v>15.472777745202309</v>
      </c>
      <c r="S498" s="530">
        <v>4.3140973370974569</v>
      </c>
      <c r="T498" s="530">
        <v>589.18372369671658</v>
      </c>
      <c r="U498" s="530" t="s">
        <v>61</v>
      </c>
    </row>
    <row r="499" spans="1:21" ht="13.8" x14ac:dyDescent="0.3">
      <c r="A499" s="530" t="str">
        <f t="shared" si="14"/>
        <v>Conwy.2020.Vehicle Days.Total</v>
      </c>
      <c r="B499" s="530" t="s">
        <v>219</v>
      </c>
      <c r="C499" s="530" t="str">
        <f t="shared" si="15"/>
        <v>2020.Vehicle Days.Total</v>
      </c>
      <c r="D499" s="530" t="s">
        <v>240</v>
      </c>
      <c r="E499" s="530" t="s">
        <v>21</v>
      </c>
      <c r="F499" s="530" t="s">
        <v>54</v>
      </c>
      <c r="G499" s="530" t="s">
        <v>54</v>
      </c>
      <c r="H499" s="530">
        <v>94.615439201386593</v>
      </c>
      <c r="I499" s="530">
        <v>180.94091593007278</v>
      </c>
      <c r="J499" s="530">
        <v>182.54088691705317</v>
      </c>
      <c r="K499" s="530">
        <v>1.1444132569930165</v>
      </c>
      <c r="L499" s="530">
        <v>1.5363872841180424</v>
      </c>
      <c r="M499" s="530">
        <v>3.4305063592128144</v>
      </c>
      <c r="N499" s="530">
        <v>175.88417201802275</v>
      </c>
      <c r="O499" s="530">
        <v>463.76586803328451</v>
      </c>
      <c r="P499" s="530">
        <v>385.24974937698687</v>
      </c>
      <c r="Q499" s="530">
        <v>3.518840948919681</v>
      </c>
      <c r="R499" s="530">
        <v>48.694156586505699</v>
      </c>
      <c r="S499" s="530">
        <v>17.089947458973892</v>
      </c>
      <c r="T499" s="530">
        <v>1558.4112833715299</v>
      </c>
      <c r="U499" s="530" t="s">
        <v>61</v>
      </c>
    </row>
    <row r="500" spans="1:21" ht="13.8" x14ac:dyDescent="0.3">
      <c r="A500" s="530" t="str">
        <f t="shared" si="14"/>
        <v>Conwy.2020.Vehicle Numbers.Serviced Accommodation</v>
      </c>
      <c r="B500" s="530" t="s">
        <v>219</v>
      </c>
      <c r="C500" s="530" t="str">
        <f t="shared" si="15"/>
        <v>2020.Vehicle Numbers.Serviced Accommodation</v>
      </c>
      <c r="D500" s="530" t="s">
        <v>240</v>
      </c>
      <c r="E500" s="530" t="s">
        <v>22</v>
      </c>
      <c r="F500" s="530" t="s">
        <v>43</v>
      </c>
      <c r="G500" s="530" t="s">
        <v>43</v>
      </c>
      <c r="H500" s="530">
        <v>23.624231451745231</v>
      </c>
      <c r="I500" s="530">
        <v>33.445469847788345</v>
      </c>
      <c r="J500" s="530">
        <v>9.1934028909709635</v>
      </c>
      <c r="K500" s="530">
        <v>0</v>
      </c>
      <c r="L500" s="530">
        <v>0</v>
      </c>
      <c r="M500" s="530">
        <v>0</v>
      </c>
      <c r="N500" s="530">
        <v>1.0247855067482823</v>
      </c>
      <c r="O500" s="530">
        <v>22.465731220611204</v>
      </c>
      <c r="P500" s="530">
        <v>17.854898273806363</v>
      </c>
      <c r="Q500" s="530">
        <v>0</v>
      </c>
      <c r="R500" s="530">
        <v>8.9166703255958097</v>
      </c>
      <c r="S500" s="530">
        <v>1.8395968127970654</v>
      </c>
      <c r="T500" s="530">
        <v>118.36478633006327</v>
      </c>
      <c r="U500" s="530" t="s">
        <v>61</v>
      </c>
    </row>
    <row r="501" spans="1:21" ht="13.8" x14ac:dyDescent="0.3">
      <c r="A501" s="530" t="str">
        <f t="shared" si="14"/>
        <v>Conwy.2020.Vehicle Numbers.Non-Serviced Accommodation</v>
      </c>
      <c r="B501" s="530" t="s">
        <v>219</v>
      </c>
      <c r="C501" s="530" t="str">
        <f t="shared" si="15"/>
        <v>2020.Vehicle Numbers.Non-Serviced Accommodation</v>
      </c>
      <c r="D501" s="530" t="s">
        <v>240</v>
      </c>
      <c r="E501" s="530" t="s">
        <v>22</v>
      </c>
      <c r="F501" s="530" t="s">
        <v>48</v>
      </c>
      <c r="G501" s="530" t="s">
        <v>48</v>
      </c>
      <c r="H501" s="530">
        <v>7.1280819094057462</v>
      </c>
      <c r="I501" s="530">
        <v>8.0474309744126575</v>
      </c>
      <c r="J501" s="530">
        <v>23.144556826298782</v>
      </c>
      <c r="K501" s="530">
        <v>0</v>
      </c>
      <c r="L501" s="530">
        <v>0</v>
      </c>
      <c r="M501" s="530">
        <v>0</v>
      </c>
      <c r="N501" s="530">
        <v>11.641170158772534</v>
      </c>
      <c r="O501" s="530">
        <v>30.348783532709334</v>
      </c>
      <c r="P501" s="530">
        <v>33.057323220225278</v>
      </c>
      <c r="Q501" s="530">
        <v>0</v>
      </c>
      <c r="R501" s="530">
        <v>3.9030524835747791</v>
      </c>
      <c r="S501" s="530">
        <v>1.7439454859529326</v>
      </c>
      <c r="T501" s="530">
        <v>119.01434459135203</v>
      </c>
      <c r="U501" s="530" t="s">
        <v>61</v>
      </c>
    </row>
    <row r="502" spans="1:21" ht="13.8" x14ac:dyDescent="0.3">
      <c r="A502" s="530" t="str">
        <f t="shared" si="14"/>
        <v>Conwy.2020.Vehicle Numbers.SFR</v>
      </c>
      <c r="B502" s="530" t="s">
        <v>219</v>
      </c>
      <c r="C502" s="530" t="str">
        <f t="shared" si="15"/>
        <v>2020.Vehicle Numbers.SFR</v>
      </c>
      <c r="D502" s="530" t="s">
        <v>240</v>
      </c>
      <c r="E502" s="530" t="s">
        <v>22</v>
      </c>
      <c r="F502" s="530" t="s">
        <v>18</v>
      </c>
      <c r="G502" s="530" t="s">
        <v>18</v>
      </c>
      <c r="H502" s="530">
        <v>7.5116468181818172</v>
      </c>
      <c r="I502" s="530">
        <v>3.0046587272727265</v>
      </c>
      <c r="J502" s="530">
        <v>2.470497175757576</v>
      </c>
      <c r="K502" s="530">
        <v>0</v>
      </c>
      <c r="L502" s="530">
        <v>0</v>
      </c>
      <c r="M502" s="530">
        <v>0</v>
      </c>
      <c r="N502" s="530">
        <v>0.55085409999999979</v>
      </c>
      <c r="O502" s="530">
        <v>0.56070270360606056</v>
      </c>
      <c r="P502" s="530">
        <v>0</v>
      </c>
      <c r="Q502" s="530">
        <v>0</v>
      </c>
      <c r="R502" s="530">
        <v>0</v>
      </c>
      <c r="S502" s="530">
        <v>0</v>
      </c>
      <c r="T502" s="530">
        <v>14.098359524818179</v>
      </c>
      <c r="U502" s="530" t="s">
        <v>61</v>
      </c>
    </row>
    <row r="503" spans="1:21" ht="13.8" x14ac:dyDescent="0.3">
      <c r="A503" s="530" t="str">
        <f t="shared" si="14"/>
        <v>Conwy.2020.Vehicle Numbers.Day Visitor</v>
      </c>
      <c r="B503" s="530" t="s">
        <v>219</v>
      </c>
      <c r="C503" s="530" t="str">
        <f t="shared" si="15"/>
        <v>2020.Vehicle Numbers.Day Visitor</v>
      </c>
      <c r="D503" s="530" t="s">
        <v>240</v>
      </c>
      <c r="E503" s="530" t="s">
        <v>22</v>
      </c>
      <c r="F503" s="530" t="s">
        <v>71</v>
      </c>
      <c r="G503" s="530" t="s">
        <v>71</v>
      </c>
      <c r="H503" s="530">
        <v>15.457567701396268</v>
      </c>
      <c r="I503" s="530">
        <v>92.792025174659088</v>
      </c>
      <c r="J503" s="530">
        <v>48.525969778211568</v>
      </c>
      <c r="K503" s="530">
        <v>1.1444132569930165</v>
      </c>
      <c r="L503" s="530">
        <v>1.5363872841180424</v>
      </c>
      <c r="M503" s="530">
        <v>3.4305063592128144</v>
      </c>
      <c r="N503" s="530">
        <v>90.031577545112953</v>
      </c>
      <c r="O503" s="530">
        <v>191.26560732580521</v>
      </c>
      <c r="P503" s="530">
        <v>121.69395323998826</v>
      </c>
      <c r="Q503" s="530">
        <v>3.518840948919681</v>
      </c>
      <c r="R503" s="530">
        <v>15.472777745202309</v>
      </c>
      <c r="S503" s="530">
        <v>4.3140973370974569</v>
      </c>
      <c r="T503" s="530">
        <v>589.18372369671658</v>
      </c>
      <c r="U503" s="530" t="s">
        <v>61</v>
      </c>
    </row>
    <row r="504" spans="1:21" ht="13.8" x14ac:dyDescent="0.3">
      <c r="A504" s="530" t="str">
        <f t="shared" si="14"/>
        <v>Conwy.2020.Vehicle Numbers.Total</v>
      </c>
      <c r="B504" s="530" t="s">
        <v>219</v>
      </c>
      <c r="C504" s="530" t="str">
        <f t="shared" si="15"/>
        <v>2020.Vehicle Numbers.Total</v>
      </c>
      <c r="D504" s="530" t="s">
        <v>240</v>
      </c>
      <c r="E504" s="530" t="s">
        <v>22</v>
      </c>
      <c r="F504" s="530" t="s">
        <v>54</v>
      </c>
      <c r="G504" s="530" t="s">
        <v>54</v>
      </c>
      <c r="H504" s="530">
        <v>53.72152788072907</v>
      </c>
      <c r="I504" s="530">
        <v>137.28958472413282</v>
      </c>
      <c r="J504" s="530">
        <v>83.334426671238901</v>
      </c>
      <c r="K504" s="530">
        <v>1.1444132569930165</v>
      </c>
      <c r="L504" s="530">
        <v>1.5363872841180424</v>
      </c>
      <c r="M504" s="530">
        <v>3.4305063592128144</v>
      </c>
      <c r="N504" s="530">
        <v>103.24838731063377</v>
      </c>
      <c r="O504" s="530">
        <v>244.64082478273181</v>
      </c>
      <c r="P504" s="530">
        <v>172.6061747340199</v>
      </c>
      <c r="Q504" s="530">
        <v>3.518840948919681</v>
      </c>
      <c r="R504" s="530">
        <v>28.2925005543729</v>
      </c>
      <c r="S504" s="530">
        <v>7.8976396358474545</v>
      </c>
      <c r="T504" s="530">
        <v>840.66121414295003</v>
      </c>
      <c r="U504" s="530" t="s">
        <v>61</v>
      </c>
    </row>
    <row r="505" spans="1:21" ht="13.8" x14ac:dyDescent="0.3">
      <c r="A505" s="530" t="str">
        <f t="shared" si="14"/>
        <v>Conwy.2020.Accommodation.Serviced Accommodation</v>
      </c>
      <c r="B505" s="530" t="s">
        <v>219</v>
      </c>
      <c r="C505" s="530" t="str">
        <f t="shared" si="15"/>
        <v>2020.Accommodation.Serviced Accommodation</v>
      </c>
      <c r="D505" s="530" t="s">
        <v>240</v>
      </c>
      <c r="E505" s="530" t="s">
        <v>23</v>
      </c>
      <c r="F505" s="530" t="s">
        <v>43</v>
      </c>
      <c r="G505" s="530" t="s">
        <v>43</v>
      </c>
      <c r="H505" s="530">
        <v>7712</v>
      </c>
      <c r="I505" s="530">
        <v>8389</v>
      </c>
      <c r="J505" s="530">
        <v>6654.08</v>
      </c>
      <c r="K505" s="530">
        <v>0</v>
      </c>
      <c r="L505" s="530">
        <v>0</v>
      </c>
      <c r="M505" s="530">
        <v>0</v>
      </c>
      <c r="N505" s="530">
        <v>777.04348800000002</v>
      </c>
      <c r="O505" s="530">
        <v>6451.2006000000001</v>
      </c>
      <c r="P505" s="530">
        <v>6774.5970000000007</v>
      </c>
      <c r="Q505" s="530">
        <v>0</v>
      </c>
      <c r="R505" s="530">
        <v>3959.5537800000002</v>
      </c>
      <c r="S505" s="530">
        <v>2823.0408360000006</v>
      </c>
      <c r="T505" s="530">
        <v>8389</v>
      </c>
      <c r="U505" s="530" t="s">
        <v>58</v>
      </c>
    </row>
    <row r="506" spans="1:21" ht="13.8" x14ac:dyDescent="0.3">
      <c r="A506" s="530" t="str">
        <f t="shared" si="14"/>
        <v>Conwy.2020.Accommodation.Non-Serviced Accommodation</v>
      </c>
      <c r="B506" s="530" t="s">
        <v>219</v>
      </c>
      <c r="C506" s="530" t="str">
        <f t="shared" si="15"/>
        <v>2020.Accommodation.Non-Serviced Accommodation</v>
      </c>
      <c r="D506" s="530" t="s">
        <v>240</v>
      </c>
      <c r="E506" s="530" t="s">
        <v>23</v>
      </c>
      <c r="F506" s="530" t="s">
        <v>48</v>
      </c>
      <c r="G506" s="530" t="s">
        <v>48</v>
      </c>
      <c r="H506" s="530">
        <v>7963.710619161342</v>
      </c>
      <c r="I506" s="530">
        <v>7757.5503754328665</v>
      </c>
      <c r="J506" s="530">
        <v>32400.701883750178</v>
      </c>
      <c r="K506" s="530">
        <v>0</v>
      </c>
      <c r="L506" s="530">
        <v>0</v>
      </c>
      <c r="M506" s="530">
        <v>0</v>
      </c>
      <c r="N506" s="530">
        <v>21581.992439504331</v>
      </c>
      <c r="O506" s="530">
        <v>34544.374198776954</v>
      </c>
      <c r="P506" s="530">
        <v>39958.980951287587</v>
      </c>
      <c r="Q506" s="530">
        <v>0</v>
      </c>
      <c r="R506" s="530">
        <v>13581.114820143199</v>
      </c>
      <c r="S506" s="530">
        <v>4487.5550719469747</v>
      </c>
      <c r="T506" s="530">
        <v>39958.980951287587</v>
      </c>
      <c r="U506" s="530" t="s">
        <v>58</v>
      </c>
    </row>
    <row r="507" spans="1:21" ht="13.8" x14ac:dyDescent="0.3">
      <c r="A507" s="530" t="str">
        <f t="shared" si="14"/>
        <v>Conwy.2020.Accommodation.Total</v>
      </c>
      <c r="B507" s="530" t="s">
        <v>219</v>
      </c>
      <c r="C507" s="530" t="str">
        <f t="shared" si="15"/>
        <v>2020.Accommodation.Total</v>
      </c>
      <c r="D507" s="530" t="s">
        <v>240</v>
      </c>
      <c r="E507" s="530" t="s">
        <v>23</v>
      </c>
      <c r="F507" s="530" t="s">
        <v>54</v>
      </c>
      <c r="G507" s="530" t="s">
        <v>54</v>
      </c>
      <c r="H507" s="530">
        <v>15675.710619161342</v>
      </c>
      <c r="I507" s="530">
        <v>16146.550375432867</v>
      </c>
      <c r="J507" s="530">
        <v>39054.781883750176</v>
      </c>
      <c r="K507" s="530">
        <v>0</v>
      </c>
      <c r="L507" s="530">
        <v>0</v>
      </c>
      <c r="M507" s="530">
        <v>0</v>
      </c>
      <c r="N507" s="530">
        <v>22359.03592750433</v>
      </c>
      <c r="O507" s="530">
        <v>40995.574798776957</v>
      </c>
      <c r="P507" s="530">
        <v>46733.577951287589</v>
      </c>
      <c r="Q507" s="530">
        <v>0</v>
      </c>
      <c r="R507" s="530">
        <v>17540.668600143199</v>
      </c>
      <c r="S507" s="530">
        <v>7310.5959079469758</v>
      </c>
      <c r="T507" s="530">
        <v>46733.577951287589</v>
      </c>
      <c r="U507" s="530" t="s">
        <v>58</v>
      </c>
    </row>
    <row r="508" spans="1:21" ht="13.8" x14ac:dyDescent="0.3">
      <c r="A508" s="530" t="str">
        <f t="shared" si="14"/>
        <v>Conwy.2020.Economic Impact.Total</v>
      </c>
      <c r="B508" s="530" t="s">
        <v>219</v>
      </c>
      <c r="C508" s="530" t="str">
        <f t="shared" si="15"/>
        <v>2020.Economic Impact.Total</v>
      </c>
      <c r="D508" s="530" t="s">
        <v>240</v>
      </c>
      <c r="E508" s="530" t="s">
        <v>17</v>
      </c>
      <c r="F508" s="530" t="s">
        <v>54</v>
      </c>
      <c r="G508" s="530" t="s">
        <v>54</v>
      </c>
      <c r="H508" s="530">
        <v>26621.111466867558</v>
      </c>
      <c r="I508" s="530">
        <v>40681.045994233435</v>
      </c>
      <c r="J508" s="530">
        <v>37839.572094717339</v>
      </c>
      <c r="K508" s="530">
        <v>0</v>
      </c>
      <c r="L508" s="530">
        <v>0</v>
      </c>
      <c r="M508" s="530">
        <v>683.07917349646141</v>
      </c>
      <c r="N508" s="530">
        <v>43331.517341398241</v>
      </c>
      <c r="O508" s="530">
        <v>112889.97791912948</v>
      </c>
      <c r="P508" s="530">
        <v>91556.491980021616</v>
      </c>
      <c r="Q508" s="530">
        <v>700.66827324148016</v>
      </c>
      <c r="R508" s="530">
        <v>12593.458765823514</v>
      </c>
      <c r="S508" s="530">
        <v>5860.8708322264793</v>
      </c>
      <c r="T508" s="530">
        <v>372757.7938411556</v>
      </c>
      <c r="U508" s="530" t="s">
        <v>57</v>
      </c>
    </row>
    <row r="509" spans="1:21" ht="13.8" x14ac:dyDescent="0.3">
      <c r="A509" s="530" t="str">
        <f t="shared" si="14"/>
        <v>Conwy.2021.Economic Impact.Indirect Expenditure</v>
      </c>
      <c r="B509" s="530" t="s">
        <v>219</v>
      </c>
      <c r="C509" s="530" t="str">
        <f t="shared" si="15"/>
        <v>2021.Economic Impact.Indirect Expenditure</v>
      </c>
      <c r="D509" s="530" t="s">
        <v>241</v>
      </c>
      <c r="E509" s="530" t="s">
        <v>17</v>
      </c>
      <c r="F509" s="530" t="s">
        <v>45</v>
      </c>
      <c r="G509" s="530" t="s">
        <v>45</v>
      </c>
      <c r="H509" s="530">
        <v>0</v>
      </c>
      <c r="I509" s="530">
        <v>0</v>
      </c>
      <c r="J509" s="530">
        <v>2243.6666755174492</v>
      </c>
      <c r="K509" s="530">
        <v>7764.7914036673283</v>
      </c>
      <c r="L509" s="530">
        <v>8755.180099353789</v>
      </c>
      <c r="M509" s="530">
        <v>22516.503705560313</v>
      </c>
      <c r="N509" s="530">
        <v>35926.140150774889</v>
      </c>
      <c r="O509" s="530">
        <v>44550.554320536648</v>
      </c>
      <c r="P509" s="530">
        <v>30014.805899152863</v>
      </c>
      <c r="Q509" s="530">
        <v>21717.018586013633</v>
      </c>
      <c r="R509" s="530">
        <v>8640.8815692717071</v>
      </c>
      <c r="S509" s="530">
        <v>5759.2365991517918</v>
      </c>
      <c r="T509" s="530">
        <v>187888.7790090004</v>
      </c>
      <c r="U509" s="530" t="s">
        <v>57</v>
      </c>
    </row>
    <row r="510" spans="1:21" ht="13.8" x14ac:dyDescent="0.3">
      <c r="A510" s="530" t="str">
        <f t="shared" si="14"/>
        <v>Conwy.2021.Economic Impact.Direct Revenue</v>
      </c>
      <c r="B510" s="530" t="s">
        <v>219</v>
      </c>
      <c r="C510" s="530" t="str">
        <f t="shared" si="15"/>
        <v>2021.Economic Impact.Direct Revenue</v>
      </c>
      <c r="D510" s="530" t="s">
        <v>241</v>
      </c>
      <c r="E510" s="530" t="s">
        <v>17</v>
      </c>
      <c r="F510" s="530" t="s">
        <v>46</v>
      </c>
      <c r="G510" s="530" t="s">
        <v>46</v>
      </c>
      <c r="H510" s="530">
        <v>0</v>
      </c>
      <c r="I510" s="530">
        <v>0</v>
      </c>
      <c r="J510" s="530">
        <v>5570.7929371277423</v>
      </c>
      <c r="K510" s="530">
        <v>18910.751671003087</v>
      </c>
      <c r="L510" s="530">
        <v>22769.772806560642</v>
      </c>
      <c r="M510" s="530">
        <v>58928.564662323821</v>
      </c>
      <c r="N510" s="530">
        <v>94244.284459628834</v>
      </c>
      <c r="O510" s="530">
        <v>116018.47816662182</v>
      </c>
      <c r="P510" s="530">
        <v>79040.636403720171</v>
      </c>
      <c r="Q510" s="530">
        <v>54792.393500587219</v>
      </c>
      <c r="R510" s="530">
        <v>22535.832933833433</v>
      </c>
      <c r="S510" s="530">
        <v>14699.61832270328</v>
      </c>
      <c r="T510" s="530">
        <v>487511.12586411007</v>
      </c>
      <c r="U510" s="530" t="s">
        <v>57</v>
      </c>
    </row>
    <row r="511" spans="1:21" ht="13.8" x14ac:dyDescent="0.3">
      <c r="A511" s="530" t="str">
        <f t="shared" si="14"/>
        <v>Conwy.2021.Economic Impact.VAT</v>
      </c>
      <c r="B511" s="530" t="s">
        <v>219</v>
      </c>
      <c r="C511" s="530" t="str">
        <f t="shared" si="15"/>
        <v>2021.Economic Impact.VAT</v>
      </c>
      <c r="D511" s="530" t="s">
        <v>241</v>
      </c>
      <c r="E511" s="530" t="s">
        <v>17</v>
      </c>
      <c r="F511" s="530" t="s">
        <v>47</v>
      </c>
      <c r="G511" s="530" t="s">
        <v>47</v>
      </c>
      <c r="H511" s="530">
        <v>0</v>
      </c>
      <c r="I511" s="530">
        <v>0</v>
      </c>
      <c r="J511" s="530">
        <v>777.18038609770713</v>
      </c>
      <c r="K511" s="530">
        <v>2084.5480723658147</v>
      </c>
      <c r="L511" s="530">
        <v>2287.3205188038246</v>
      </c>
      <c r="M511" s="530">
        <v>7449.0022659543611</v>
      </c>
      <c r="N511" s="530">
        <v>11819.380185038612</v>
      </c>
      <c r="O511" s="530">
        <v>15255.19959536173</v>
      </c>
      <c r="P511" s="530">
        <v>9809.8463452780852</v>
      </c>
      <c r="Q511" s="530">
        <v>8963.9920604295203</v>
      </c>
      <c r="R511" s="530">
        <v>3470.6563245567777</v>
      </c>
      <c r="S511" s="530">
        <v>2209.4240707265294</v>
      </c>
      <c r="T511" s="530">
        <v>64126.549824612957</v>
      </c>
      <c r="U511" s="530" t="s">
        <v>57</v>
      </c>
    </row>
    <row r="512" spans="1:21" ht="13.8" x14ac:dyDescent="0.3">
      <c r="A512" s="530" t="str">
        <f t="shared" si="14"/>
        <v>Conwy.2021.Economic Impact.Serviced Accommodation</v>
      </c>
      <c r="B512" s="530" t="s">
        <v>219</v>
      </c>
      <c r="C512" s="530" t="str">
        <f t="shared" si="15"/>
        <v>2021.Economic Impact.Serviced Accommodation</v>
      </c>
      <c r="D512" s="530" t="s">
        <v>241</v>
      </c>
      <c r="E512" s="530" t="s">
        <v>17</v>
      </c>
      <c r="F512" s="530" t="s">
        <v>43</v>
      </c>
      <c r="G512" s="530" t="s">
        <v>43</v>
      </c>
      <c r="H512" s="530">
        <v>0</v>
      </c>
      <c r="I512" s="530">
        <v>0</v>
      </c>
      <c r="J512" s="530">
        <v>0</v>
      </c>
      <c r="K512" s="530">
        <v>0</v>
      </c>
      <c r="L512" s="530">
        <v>8378.4884804988742</v>
      </c>
      <c r="M512" s="530">
        <v>18340.795454501913</v>
      </c>
      <c r="N512" s="530">
        <v>24981.52021097959</v>
      </c>
      <c r="O512" s="530">
        <v>25685.5667920019</v>
      </c>
      <c r="P512" s="530">
        <v>20650.407589729773</v>
      </c>
      <c r="Q512" s="530">
        <v>11833.808323184583</v>
      </c>
      <c r="R512" s="530">
        <v>14523.833571356472</v>
      </c>
      <c r="S512" s="530">
        <v>9825.323074221993</v>
      </c>
      <c r="T512" s="530">
        <v>134219.7434964751</v>
      </c>
      <c r="U512" s="530" t="s">
        <v>57</v>
      </c>
    </row>
    <row r="513" spans="1:21" ht="13.8" x14ac:dyDescent="0.3">
      <c r="A513" s="530" t="str">
        <f t="shared" si="14"/>
        <v>Conwy.2021.Economic Impact.Non-Serviced Accommodation</v>
      </c>
      <c r="B513" s="530" t="s">
        <v>219</v>
      </c>
      <c r="C513" s="530" t="str">
        <f t="shared" si="15"/>
        <v>2021.Economic Impact.Non-Serviced Accommodation</v>
      </c>
      <c r="D513" s="530" t="s">
        <v>241</v>
      </c>
      <c r="E513" s="530" t="s">
        <v>17</v>
      </c>
      <c r="F513" s="530" t="s">
        <v>48</v>
      </c>
      <c r="G513" s="530" t="s">
        <v>48</v>
      </c>
      <c r="H513" s="530">
        <v>0</v>
      </c>
      <c r="I513" s="530">
        <v>0</v>
      </c>
      <c r="J513" s="530">
        <v>4556.2789171273416</v>
      </c>
      <c r="K513" s="530">
        <v>28760.09114703623</v>
      </c>
      <c r="L513" s="530">
        <v>25304.436824017946</v>
      </c>
      <c r="M513" s="530">
        <v>32998.974919979664</v>
      </c>
      <c r="N513" s="530">
        <v>57333.422223130969</v>
      </c>
      <c r="O513" s="530">
        <v>69462.079563598032</v>
      </c>
      <c r="P513" s="530">
        <v>57285.414055728354</v>
      </c>
      <c r="Q513" s="530">
        <v>53452.714764125631</v>
      </c>
      <c r="R513" s="530">
        <v>13231.264893483843</v>
      </c>
      <c r="S513" s="530">
        <v>9881.4898737122057</v>
      </c>
      <c r="T513" s="530">
        <v>352266.16718194017</v>
      </c>
      <c r="U513" s="530" t="s">
        <v>57</v>
      </c>
    </row>
    <row r="514" spans="1:21" ht="13.8" x14ac:dyDescent="0.3">
      <c r="A514" s="530" t="str">
        <f t="shared" si="14"/>
        <v>Conwy.2021.Economic Impact.SFR</v>
      </c>
      <c r="B514" s="530" t="s">
        <v>219</v>
      </c>
      <c r="C514" s="530" t="str">
        <f t="shared" si="15"/>
        <v>2021.Economic Impact.SFR</v>
      </c>
      <c r="D514" s="530" t="s">
        <v>241</v>
      </c>
      <c r="E514" s="530" t="s">
        <v>17</v>
      </c>
      <c r="F514" s="530" t="s">
        <v>18</v>
      </c>
      <c r="G514" s="530" t="s">
        <v>18</v>
      </c>
      <c r="H514" s="530">
        <v>0</v>
      </c>
      <c r="I514" s="530">
        <v>0</v>
      </c>
      <c r="J514" s="530">
        <v>0</v>
      </c>
      <c r="K514" s="530">
        <v>0</v>
      </c>
      <c r="L514" s="530">
        <v>129.34812020143858</v>
      </c>
      <c r="M514" s="530">
        <v>99.639208775171824</v>
      </c>
      <c r="N514" s="530">
        <v>808.42575125899134</v>
      </c>
      <c r="O514" s="530">
        <v>855.7946007327605</v>
      </c>
      <c r="P514" s="530">
        <v>440.80369499647981</v>
      </c>
      <c r="Q514" s="530">
        <v>440.37155468580681</v>
      </c>
      <c r="R514" s="530">
        <v>343.13998478438441</v>
      </c>
      <c r="S514" s="530">
        <v>993.62874154741462</v>
      </c>
      <c r="T514" s="530">
        <v>4111.151656982448</v>
      </c>
      <c r="U514" s="530" t="s">
        <v>57</v>
      </c>
    </row>
    <row r="515" spans="1:21" ht="13.8" x14ac:dyDescent="0.3">
      <c r="A515" s="530" t="str">
        <f t="shared" si="14"/>
        <v>Conwy.2021.Economic Impact.Day Visitor</v>
      </c>
      <c r="B515" s="530" t="s">
        <v>219</v>
      </c>
      <c r="C515" s="530" t="str">
        <f t="shared" si="15"/>
        <v>2021.Economic Impact.Day Visitor</v>
      </c>
      <c r="D515" s="530" t="s">
        <v>241</v>
      </c>
      <c r="E515" s="530" t="s">
        <v>17</v>
      </c>
      <c r="F515" s="530" t="s">
        <v>71</v>
      </c>
      <c r="G515" s="530" t="s">
        <v>71</v>
      </c>
      <c r="H515" s="530">
        <v>0</v>
      </c>
      <c r="I515" s="530">
        <v>0</v>
      </c>
      <c r="J515" s="530">
        <v>4035.3610816155569</v>
      </c>
      <c r="K515" s="530">
        <v>0</v>
      </c>
      <c r="L515" s="530">
        <v>0</v>
      </c>
      <c r="M515" s="530">
        <v>37454.661050581752</v>
      </c>
      <c r="N515" s="530">
        <v>58866.436610072786</v>
      </c>
      <c r="O515" s="530">
        <v>79820.791126187512</v>
      </c>
      <c r="P515" s="530">
        <v>40488.663307696494</v>
      </c>
      <c r="Q515" s="530">
        <v>19746.509505034348</v>
      </c>
      <c r="R515" s="530">
        <v>6549.1323780372149</v>
      </c>
      <c r="S515" s="530">
        <v>1967.8373030999844</v>
      </c>
      <c r="T515" s="530">
        <v>248929.39236232563</v>
      </c>
      <c r="U515" s="530" t="s">
        <v>57</v>
      </c>
    </row>
    <row r="516" spans="1:21" ht="13.8" x14ac:dyDescent="0.3">
      <c r="A516" s="530" t="str">
        <f t="shared" si="14"/>
        <v>Conwy.2021.Economic Impact.Accommodation</v>
      </c>
      <c r="B516" s="530" t="s">
        <v>219</v>
      </c>
      <c r="C516" s="530" t="str">
        <f t="shared" si="15"/>
        <v>2021.Economic Impact.Accommodation</v>
      </c>
      <c r="D516" s="530" t="s">
        <v>241</v>
      </c>
      <c r="E516" s="530" t="s">
        <v>17</v>
      </c>
      <c r="F516" s="530" t="s">
        <v>23</v>
      </c>
      <c r="G516" s="530" t="s">
        <v>23</v>
      </c>
      <c r="H516" s="530">
        <v>0</v>
      </c>
      <c r="I516" s="530">
        <v>0</v>
      </c>
      <c r="J516" s="530">
        <v>794.42314374281295</v>
      </c>
      <c r="K516" s="530">
        <v>6572.7024140637022</v>
      </c>
      <c r="L516" s="530">
        <v>10339.950679201484</v>
      </c>
      <c r="M516" s="530">
        <v>15944.207054313529</v>
      </c>
      <c r="N516" s="530">
        <v>26425.397476839724</v>
      </c>
      <c r="O516" s="530">
        <v>26310.677590595977</v>
      </c>
      <c r="P516" s="530">
        <v>22130.461616205117</v>
      </c>
      <c r="Q516" s="530">
        <v>12803.055496000317</v>
      </c>
      <c r="R516" s="530">
        <v>9759.312941183689</v>
      </c>
      <c r="S516" s="530">
        <v>7253.8839760718711</v>
      </c>
      <c r="T516" s="530">
        <v>138334.07238821822</v>
      </c>
      <c r="U516" s="530" t="s">
        <v>57</v>
      </c>
    </row>
    <row r="517" spans="1:21" ht="13.8" x14ac:dyDescent="0.3">
      <c r="A517" s="530" t="str">
        <f t="shared" si="14"/>
        <v>Conwy.2021.Economic Impact.Food &amp; Drink</v>
      </c>
      <c r="B517" s="530" t="s">
        <v>219</v>
      </c>
      <c r="C517" s="530" t="str">
        <f t="shared" si="15"/>
        <v>2021.Economic Impact.Food &amp; Drink</v>
      </c>
      <c r="D517" s="530" t="s">
        <v>241</v>
      </c>
      <c r="E517" s="530" t="s">
        <v>17</v>
      </c>
      <c r="F517" s="530" t="s">
        <v>49</v>
      </c>
      <c r="G517" s="530" t="s">
        <v>49</v>
      </c>
      <c r="H517" s="530">
        <v>0</v>
      </c>
      <c r="I517" s="530">
        <v>0</v>
      </c>
      <c r="J517" s="530">
        <v>1433.1176346180109</v>
      </c>
      <c r="K517" s="530">
        <v>4149.2998817522284</v>
      </c>
      <c r="L517" s="530">
        <v>4416.4515318755875</v>
      </c>
      <c r="M517" s="530">
        <v>12518.309265366721</v>
      </c>
      <c r="N517" s="530">
        <v>20174.813244316225</v>
      </c>
      <c r="O517" s="530">
        <v>27422.403726937504</v>
      </c>
      <c r="P517" s="530">
        <v>18246.819303468688</v>
      </c>
      <c r="Q517" s="530">
        <v>13866.805718610989</v>
      </c>
      <c r="R517" s="530">
        <v>3974.5920855602872</v>
      </c>
      <c r="S517" s="530">
        <v>2464.2088892084512</v>
      </c>
      <c r="T517" s="530">
        <v>108666.8212817147</v>
      </c>
      <c r="U517" s="530" t="s">
        <v>57</v>
      </c>
    </row>
    <row r="518" spans="1:21" ht="13.8" x14ac:dyDescent="0.3">
      <c r="A518" s="530" t="str">
        <f t="shared" si="14"/>
        <v>Conwy.2021.Economic Impact.Recreation</v>
      </c>
      <c r="B518" s="530" t="s">
        <v>219</v>
      </c>
      <c r="C518" s="530" t="str">
        <f t="shared" si="15"/>
        <v>2021.Economic Impact.Recreation</v>
      </c>
      <c r="D518" s="530" t="s">
        <v>241</v>
      </c>
      <c r="E518" s="530" t="s">
        <v>17</v>
      </c>
      <c r="F518" s="530" t="s">
        <v>50</v>
      </c>
      <c r="G518" s="530" t="s">
        <v>50</v>
      </c>
      <c r="H518" s="530">
        <v>0</v>
      </c>
      <c r="I518" s="530">
        <v>0</v>
      </c>
      <c r="J518" s="530">
        <v>503.01329663905119</v>
      </c>
      <c r="K518" s="530">
        <v>2176.8947824721968</v>
      </c>
      <c r="L518" s="530">
        <v>1944.8057181518</v>
      </c>
      <c r="M518" s="530">
        <v>4771.2872534188227</v>
      </c>
      <c r="N518" s="530">
        <v>7075.5608477833084</v>
      </c>
      <c r="O518" s="530">
        <v>8149.990934157956</v>
      </c>
      <c r="P518" s="530">
        <v>5563.9513012884545</v>
      </c>
      <c r="Q518" s="530">
        <v>4519.9938811739139</v>
      </c>
      <c r="R518" s="530">
        <v>1439.8397654820699</v>
      </c>
      <c r="S518" s="530">
        <v>850.60525494685157</v>
      </c>
      <c r="T518" s="530">
        <v>36995.943035514429</v>
      </c>
      <c r="U518" s="530" t="s">
        <v>57</v>
      </c>
    </row>
    <row r="519" spans="1:21" ht="13.8" x14ac:dyDescent="0.3">
      <c r="A519" s="530" t="str">
        <f t="shared" si="14"/>
        <v>Conwy.2021.Economic Impact.Shopping</v>
      </c>
      <c r="B519" s="530" t="s">
        <v>219</v>
      </c>
      <c r="C519" s="530" t="str">
        <f t="shared" si="15"/>
        <v>2021.Economic Impact.Shopping</v>
      </c>
      <c r="D519" s="530" t="s">
        <v>241</v>
      </c>
      <c r="E519" s="530" t="s">
        <v>17</v>
      </c>
      <c r="F519" s="530" t="s">
        <v>51</v>
      </c>
      <c r="G519" s="530" t="s">
        <v>51</v>
      </c>
      <c r="H519" s="530">
        <v>0</v>
      </c>
      <c r="I519" s="530">
        <v>0</v>
      </c>
      <c r="J519" s="530">
        <v>2192.2712004659315</v>
      </c>
      <c r="K519" s="530">
        <v>4102.9893798459125</v>
      </c>
      <c r="L519" s="530">
        <v>4226.8451683550293</v>
      </c>
      <c r="M519" s="530">
        <v>19810.820461625903</v>
      </c>
      <c r="N519" s="530">
        <v>31325.860887591371</v>
      </c>
      <c r="O519" s="530">
        <v>42193.199312843819</v>
      </c>
      <c r="P519" s="530">
        <v>25373.368406534744</v>
      </c>
      <c r="Q519" s="530">
        <v>17587.506798845814</v>
      </c>
      <c r="R519" s="530">
        <v>5537.1837190929973</v>
      </c>
      <c r="S519" s="530">
        <v>3066.966811862369</v>
      </c>
      <c r="T519" s="530">
        <v>155417.01214706388</v>
      </c>
      <c r="U519" s="530" t="s">
        <v>57</v>
      </c>
    </row>
    <row r="520" spans="1:21" ht="13.8" x14ac:dyDescent="0.3">
      <c r="A520" s="530" t="str">
        <f t="shared" si="14"/>
        <v>Conwy.2021.Economic Impact.Transport</v>
      </c>
      <c r="B520" s="530" t="s">
        <v>219</v>
      </c>
      <c r="C520" s="530" t="str">
        <f t="shared" si="15"/>
        <v>2021.Economic Impact.Transport</v>
      </c>
      <c r="D520" s="530" t="s">
        <v>241</v>
      </c>
      <c r="E520" s="530" t="s">
        <v>17</v>
      </c>
      <c r="F520" s="530" t="s">
        <v>52</v>
      </c>
      <c r="G520" s="530" t="s">
        <v>52</v>
      </c>
      <c r="H520" s="530">
        <v>0</v>
      </c>
      <c r="I520" s="530">
        <v>0</v>
      </c>
      <c r="J520" s="530">
        <v>647.96766166193595</v>
      </c>
      <c r="K520" s="530">
        <v>1908.8652128690487</v>
      </c>
      <c r="L520" s="530">
        <v>1841.7197089767415</v>
      </c>
      <c r="M520" s="530">
        <v>5883.9406275988467</v>
      </c>
      <c r="N520" s="530">
        <v>9242.6520030982101</v>
      </c>
      <c r="O520" s="530">
        <v>11942.206602086575</v>
      </c>
      <c r="P520" s="530">
        <v>7726.0357762231524</v>
      </c>
      <c r="Q520" s="530">
        <v>6015.0316059561856</v>
      </c>
      <c r="R520" s="530">
        <v>1824.9044225143903</v>
      </c>
      <c r="S520" s="530">
        <v>1063.9533906137362</v>
      </c>
      <c r="T520" s="530">
        <v>48097.277011598824</v>
      </c>
      <c r="U520" s="530" t="s">
        <v>57</v>
      </c>
    </row>
    <row r="521" spans="1:21" ht="13.8" x14ac:dyDescent="0.3">
      <c r="A521" s="530" t="str">
        <f t="shared" ref="A521:A584" si="16">B521&amp;"."&amp;D521&amp;"."&amp;E521&amp;"."&amp;F521</f>
        <v>Conwy.2021.Economic Impact.Direct Expenditure</v>
      </c>
      <c r="B521" s="530" t="s">
        <v>219</v>
      </c>
      <c r="C521" s="530" t="str">
        <f t="shared" ref="C521:C584" si="17">D521&amp;"."&amp;E521&amp;"."&amp;F521</f>
        <v>2021.Economic Impact.Direct Expenditure</v>
      </c>
      <c r="D521" s="530" t="s">
        <v>241</v>
      </c>
      <c r="E521" s="530" t="s">
        <v>17</v>
      </c>
      <c r="F521" s="530" t="s">
        <v>44</v>
      </c>
      <c r="G521" s="530" t="s">
        <v>44</v>
      </c>
      <c r="H521" s="530">
        <v>0</v>
      </c>
      <c r="I521" s="530">
        <v>0</v>
      </c>
      <c r="J521" s="530">
        <v>6347.9733232254493</v>
      </c>
      <c r="K521" s="530">
        <v>20995.299743368902</v>
      </c>
      <c r="L521" s="530">
        <v>25057.093325364469</v>
      </c>
      <c r="M521" s="530">
        <v>66377.566928278189</v>
      </c>
      <c r="N521" s="530">
        <v>106063.66464466744</v>
      </c>
      <c r="O521" s="530">
        <v>131273.67776198356</v>
      </c>
      <c r="P521" s="530">
        <v>88850.482748998242</v>
      </c>
      <c r="Q521" s="530">
        <v>63756.385561016737</v>
      </c>
      <c r="R521" s="530">
        <v>26006.489258390207</v>
      </c>
      <c r="S521" s="530">
        <v>16909.042393429805</v>
      </c>
      <c r="T521" s="530">
        <v>551637.67568872287</v>
      </c>
      <c r="U521" s="530" t="s">
        <v>57</v>
      </c>
    </row>
    <row r="522" spans="1:21" ht="13.8" x14ac:dyDescent="0.3">
      <c r="A522" s="530" t="str">
        <f t="shared" si="16"/>
        <v>Conwy.2021.Population.Total</v>
      </c>
      <c r="B522" s="530" t="s">
        <v>219</v>
      </c>
      <c r="C522" s="530" t="str">
        <f t="shared" si="17"/>
        <v>2021.Population.Total</v>
      </c>
      <c r="D522" s="530" t="s">
        <v>241</v>
      </c>
      <c r="E522" s="530" t="s">
        <v>19</v>
      </c>
      <c r="F522" s="530" t="s">
        <v>54</v>
      </c>
      <c r="G522" s="530" t="s">
        <v>54</v>
      </c>
      <c r="H522" s="530">
        <v>118184</v>
      </c>
      <c r="I522" s="530">
        <v>118184</v>
      </c>
      <c r="J522" s="530">
        <v>118184</v>
      </c>
      <c r="K522" s="530">
        <v>118184</v>
      </c>
      <c r="L522" s="530">
        <v>118184</v>
      </c>
      <c r="M522" s="530">
        <v>118184</v>
      </c>
      <c r="N522" s="530">
        <v>118184</v>
      </c>
      <c r="O522" s="530">
        <v>118184</v>
      </c>
      <c r="P522" s="530">
        <v>118184</v>
      </c>
      <c r="Q522" s="530">
        <v>118184</v>
      </c>
      <c r="R522" s="530">
        <v>118184</v>
      </c>
      <c r="S522" s="530">
        <v>118184</v>
      </c>
      <c r="T522" s="530">
        <v>118184</v>
      </c>
      <c r="U522" s="530" t="s">
        <v>60</v>
      </c>
    </row>
    <row r="523" spans="1:21" ht="13.8" x14ac:dyDescent="0.3">
      <c r="A523" s="530" t="str">
        <f t="shared" si="16"/>
        <v>Conwy.2021.Employment.Serviced Accommodation</v>
      </c>
      <c r="B523" s="530" t="s">
        <v>219</v>
      </c>
      <c r="C523" s="530" t="str">
        <f t="shared" si="17"/>
        <v>2021.Employment.Serviced Accommodation</v>
      </c>
      <c r="D523" s="530" t="s">
        <v>241</v>
      </c>
      <c r="E523" s="530" t="s">
        <v>20</v>
      </c>
      <c r="F523" s="530" t="s">
        <v>43</v>
      </c>
      <c r="G523" s="530" t="s">
        <v>43</v>
      </c>
      <c r="H523" s="530">
        <v>0</v>
      </c>
      <c r="I523" s="530">
        <v>0</v>
      </c>
      <c r="J523" s="530">
        <v>0</v>
      </c>
      <c r="K523" s="530">
        <v>0</v>
      </c>
      <c r="L523" s="530">
        <v>1248.7896607842374</v>
      </c>
      <c r="M523" s="530">
        <v>2643.3549772256483</v>
      </c>
      <c r="N523" s="530">
        <v>2821.2894010862228</v>
      </c>
      <c r="O523" s="530">
        <v>2738.4370458447738</v>
      </c>
      <c r="P523" s="530">
        <v>2537.4310333729122</v>
      </c>
      <c r="Q523" s="530">
        <v>2297.6220659596784</v>
      </c>
      <c r="R523" s="530">
        <v>2356.4662946251856</v>
      </c>
      <c r="S523" s="530">
        <v>2041.8973248492957</v>
      </c>
      <c r="T523" s="530">
        <v>1557.1073169789961</v>
      </c>
      <c r="U523" s="530" t="s">
        <v>59</v>
      </c>
    </row>
    <row r="524" spans="1:21" ht="13.8" x14ac:dyDescent="0.3">
      <c r="A524" s="530" t="str">
        <f t="shared" si="16"/>
        <v>Conwy.2021.Employment.Non-Serviced Accommodation</v>
      </c>
      <c r="B524" s="530" t="s">
        <v>219</v>
      </c>
      <c r="C524" s="530" t="str">
        <f t="shared" si="17"/>
        <v>2021.Employment.Non-Serviced Accommodation</v>
      </c>
      <c r="D524" s="530" t="s">
        <v>241</v>
      </c>
      <c r="E524" s="530" t="s">
        <v>20</v>
      </c>
      <c r="F524" s="530" t="s">
        <v>48</v>
      </c>
      <c r="G524" s="530" t="s">
        <v>48</v>
      </c>
      <c r="H524" s="530">
        <v>0</v>
      </c>
      <c r="I524" s="530">
        <v>0</v>
      </c>
      <c r="J524" s="530">
        <v>593.90830211065872</v>
      </c>
      <c r="K524" s="530">
        <v>3496.3484197074604</v>
      </c>
      <c r="L524" s="530">
        <v>3166.7243262659567</v>
      </c>
      <c r="M524" s="530">
        <v>3814.5764189776073</v>
      </c>
      <c r="N524" s="530">
        <v>5614.8046147766236</v>
      </c>
      <c r="O524" s="530">
        <v>7079.059929477382</v>
      </c>
      <c r="P524" s="530">
        <v>5922.5518828892782</v>
      </c>
      <c r="Q524" s="530">
        <v>5976.3995643482622</v>
      </c>
      <c r="R524" s="530">
        <v>2020.7745957238308</v>
      </c>
      <c r="S524" s="530">
        <v>1658.4893611272103</v>
      </c>
      <c r="T524" s="530">
        <v>3278.6364512836894</v>
      </c>
      <c r="U524" s="530" t="s">
        <v>59</v>
      </c>
    </row>
    <row r="525" spans="1:21" ht="13.8" x14ac:dyDescent="0.3">
      <c r="A525" s="530" t="str">
        <f t="shared" si="16"/>
        <v>Conwy.2021.Employment.SFR</v>
      </c>
      <c r="B525" s="530" t="s">
        <v>219</v>
      </c>
      <c r="C525" s="530" t="str">
        <f t="shared" si="17"/>
        <v>2021.Employment.SFR</v>
      </c>
      <c r="D525" s="530" t="s">
        <v>241</v>
      </c>
      <c r="E525" s="530" t="s">
        <v>20</v>
      </c>
      <c r="F525" s="530" t="s">
        <v>18</v>
      </c>
      <c r="G525" s="530" t="s">
        <v>18</v>
      </c>
      <c r="H525" s="530">
        <v>0</v>
      </c>
      <c r="I525" s="530">
        <v>0</v>
      </c>
      <c r="J525" s="530">
        <v>0</v>
      </c>
      <c r="K525" s="530">
        <v>0</v>
      </c>
      <c r="L525" s="530">
        <v>14.570155169595594</v>
      </c>
      <c r="M525" s="530">
        <v>11.223655439051662</v>
      </c>
      <c r="N525" s="530">
        <v>91.063469809972489</v>
      </c>
      <c r="O525" s="530">
        <v>96.399237241019819</v>
      </c>
      <c r="P525" s="530">
        <v>49.6534331185307</v>
      </c>
      <c r="Q525" s="530">
        <v>48.140873781008906</v>
      </c>
      <c r="R525" s="530">
        <v>37.511638798987072</v>
      </c>
      <c r="S525" s="530">
        <v>108.62226527357151</v>
      </c>
      <c r="T525" s="530">
        <v>38.098727385978144</v>
      </c>
      <c r="U525" s="530" t="s">
        <v>59</v>
      </c>
    </row>
    <row r="526" spans="1:21" ht="13.8" x14ac:dyDescent="0.3">
      <c r="A526" s="530" t="str">
        <f t="shared" si="16"/>
        <v>Conwy.2021.Employment.Day Visitor</v>
      </c>
      <c r="B526" s="530" t="s">
        <v>219</v>
      </c>
      <c r="C526" s="530" t="str">
        <f t="shared" si="17"/>
        <v>2021.Employment.Day Visitor</v>
      </c>
      <c r="D526" s="530" t="s">
        <v>241</v>
      </c>
      <c r="E526" s="530" t="s">
        <v>20</v>
      </c>
      <c r="F526" s="530" t="s">
        <v>71</v>
      </c>
      <c r="G526" s="530" t="s">
        <v>71</v>
      </c>
      <c r="H526" s="530">
        <v>0</v>
      </c>
      <c r="I526" s="530">
        <v>0</v>
      </c>
      <c r="J526" s="530">
        <v>407.27161007416805</v>
      </c>
      <c r="K526" s="530">
        <v>0</v>
      </c>
      <c r="L526" s="530">
        <v>0</v>
      </c>
      <c r="M526" s="530">
        <v>3780.1375892601995</v>
      </c>
      <c r="N526" s="530">
        <v>5941.1358568971109</v>
      </c>
      <c r="O526" s="530">
        <v>8055.9685891457775</v>
      </c>
      <c r="P526" s="530">
        <v>4086.3463669215735</v>
      </c>
      <c r="Q526" s="530">
        <v>1951.8591867667351</v>
      </c>
      <c r="R526" s="530">
        <v>647.35411563063349</v>
      </c>
      <c r="S526" s="530">
        <v>194.51241836633139</v>
      </c>
      <c r="T526" s="530">
        <v>2088.7154777552109</v>
      </c>
      <c r="U526" s="530" t="s">
        <v>59</v>
      </c>
    </row>
    <row r="527" spans="1:21" ht="13.8" x14ac:dyDescent="0.3">
      <c r="A527" s="530" t="str">
        <f t="shared" si="16"/>
        <v>Conwy.2021.Employment.Direct Employment</v>
      </c>
      <c r="B527" s="530" t="s">
        <v>219</v>
      </c>
      <c r="C527" s="530" t="str">
        <f t="shared" si="17"/>
        <v>2021.Employment.Direct Employment</v>
      </c>
      <c r="D527" s="530" t="s">
        <v>241</v>
      </c>
      <c r="E527" s="530" t="s">
        <v>20</v>
      </c>
      <c r="F527" s="530" t="s">
        <v>55</v>
      </c>
      <c r="G527" s="530" t="s">
        <v>55</v>
      </c>
      <c r="H527" s="530">
        <v>0</v>
      </c>
      <c r="I527" s="530">
        <v>0</v>
      </c>
      <c r="J527" s="530">
        <v>1001.1799121848268</v>
      </c>
      <c r="K527" s="530">
        <v>3496.3484197074604</v>
      </c>
      <c r="L527" s="530">
        <v>4430.08414221979</v>
      </c>
      <c r="M527" s="530">
        <v>10249.292640902508</v>
      </c>
      <c r="N527" s="530">
        <v>14468.29334256993</v>
      </c>
      <c r="O527" s="530">
        <v>17969.864801708951</v>
      </c>
      <c r="P527" s="530">
        <v>12595.982716302293</v>
      </c>
      <c r="Q527" s="530">
        <v>10274.021690855683</v>
      </c>
      <c r="R527" s="530">
        <v>5062.106644778637</v>
      </c>
      <c r="S527" s="530">
        <v>4003.5213696164087</v>
      </c>
      <c r="T527" s="530">
        <v>6962.5579734038756</v>
      </c>
      <c r="U527" s="530" t="s">
        <v>59</v>
      </c>
    </row>
    <row r="528" spans="1:21" ht="13.8" x14ac:dyDescent="0.3">
      <c r="A528" s="530" t="str">
        <f t="shared" si="16"/>
        <v>Conwy.2021.Employment.Indirect Employment</v>
      </c>
      <c r="B528" s="530" t="s">
        <v>219</v>
      </c>
      <c r="C528" s="530" t="str">
        <f t="shared" si="17"/>
        <v>2021.Employment.Indirect Employment</v>
      </c>
      <c r="D528" s="530" t="s">
        <v>241</v>
      </c>
      <c r="E528" s="530" t="s">
        <v>20</v>
      </c>
      <c r="F528" s="530" t="s">
        <v>53</v>
      </c>
      <c r="G528" s="530" t="s">
        <v>53</v>
      </c>
      <c r="H528" s="530">
        <v>0</v>
      </c>
      <c r="I528" s="530">
        <v>0</v>
      </c>
      <c r="J528" s="530">
        <v>259.42467547441549</v>
      </c>
      <c r="K528" s="530">
        <v>921.75535369672184</v>
      </c>
      <c r="L528" s="530">
        <v>1046.7511008986187</v>
      </c>
      <c r="M528" s="530">
        <v>2628.3662350874079</v>
      </c>
      <c r="N528" s="530">
        <v>4197.9784595663086</v>
      </c>
      <c r="O528" s="530">
        <v>5178.116327864258</v>
      </c>
      <c r="P528" s="530">
        <v>3511.2812409392454</v>
      </c>
      <c r="Q528" s="530">
        <v>2456.5219193407756</v>
      </c>
      <c r="R528" s="530">
        <v>984.99215196623561</v>
      </c>
      <c r="S528" s="530">
        <v>658.83448193490972</v>
      </c>
      <c r="T528" s="530">
        <v>1820.3351622307416</v>
      </c>
      <c r="U528" s="530" t="s">
        <v>59</v>
      </c>
    </row>
    <row r="529" spans="1:21" ht="13.8" x14ac:dyDescent="0.3">
      <c r="A529" s="530" t="str">
        <f t="shared" si="16"/>
        <v>Conwy.2021.Employment.Total</v>
      </c>
      <c r="B529" s="530" t="s">
        <v>219</v>
      </c>
      <c r="C529" s="530" t="str">
        <f t="shared" si="17"/>
        <v>2021.Employment.Total</v>
      </c>
      <c r="D529" s="530" t="s">
        <v>241</v>
      </c>
      <c r="E529" s="530" t="s">
        <v>20</v>
      </c>
      <c r="F529" s="530" t="s">
        <v>54</v>
      </c>
      <c r="G529" s="530" t="s">
        <v>54</v>
      </c>
      <c r="H529" s="530">
        <v>0</v>
      </c>
      <c r="I529" s="530">
        <v>0</v>
      </c>
      <c r="J529" s="530">
        <v>1260.6045876592423</v>
      </c>
      <c r="K529" s="530">
        <v>4418.103773404182</v>
      </c>
      <c r="L529" s="530">
        <v>5476.8352431184085</v>
      </c>
      <c r="M529" s="530">
        <v>12877.658875989915</v>
      </c>
      <c r="N529" s="530">
        <v>18666.271802136238</v>
      </c>
      <c r="O529" s="530">
        <v>23147.981129573207</v>
      </c>
      <c r="P529" s="530">
        <v>16107.263957241539</v>
      </c>
      <c r="Q529" s="530">
        <v>12730.543610196459</v>
      </c>
      <c r="R529" s="530">
        <v>6047.0987967448727</v>
      </c>
      <c r="S529" s="530">
        <v>4662.3558515513187</v>
      </c>
      <c r="T529" s="530">
        <v>8782.8931356346147</v>
      </c>
      <c r="U529" s="530" t="s">
        <v>59</v>
      </c>
    </row>
    <row r="530" spans="1:21" ht="13.8" x14ac:dyDescent="0.3">
      <c r="A530" s="530" t="str">
        <f t="shared" si="16"/>
        <v>Conwy.2021.Employment.Accommodation</v>
      </c>
      <c r="B530" s="530" t="s">
        <v>219</v>
      </c>
      <c r="C530" s="530" t="str">
        <f t="shared" si="17"/>
        <v>2021.Employment.Accommodation</v>
      </c>
      <c r="D530" s="530" t="s">
        <v>241</v>
      </c>
      <c r="E530" s="530" t="s">
        <v>20</v>
      </c>
      <c r="F530" s="530" t="s">
        <v>23</v>
      </c>
      <c r="G530" s="530" t="s">
        <v>23</v>
      </c>
      <c r="H530" s="530">
        <v>0</v>
      </c>
      <c r="I530" s="530">
        <v>0</v>
      </c>
      <c r="J530" s="530">
        <v>225.20000000000002</v>
      </c>
      <c r="K530" s="530">
        <v>1445</v>
      </c>
      <c r="L530" s="530">
        <v>2351.5077423259072</v>
      </c>
      <c r="M530" s="530">
        <v>3285.3816472175363</v>
      </c>
      <c r="N530" s="530">
        <v>3467.6763457338329</v>
      </c>
      <c r="O530" s="530">
        <v>3396.5137512926135</v>
      </c>
      <c r="P530" s="530">
        <v>3289.894984709048</v>
      </c>
      <c r="Q530" s="530">
        <v>3388.2484875244663</v>
      </c>
      <c r="R530" s="530">
        <v>2980.2000000000003</v>
      </c>
      <c r="S530" s="530">
        <v>2780</v>
      </c>
      <c r="T530" s="530">
        <v>2217.4685799002837</v>
      </c>
      <c r="U530" s="530" t="s">
        <v>59</v>
      </c>
    </row>
    <row r="531" spans="1:21" ht="13.8" x14ac:dyDescent="0.3">
      <c r="A531" s="530" t="str">
        <f t="shared" si="16"/>
        <v>Conwy.2021.Employment.Food &amp; Drink</v>
      </c>
      <c r="B531" s="530" t="s">
        <v>219</v>
      </c>
      <c r="C531" s="530" t="str">
        <f t="shared" si="17"/>
        <v>2021.Employment.Food &amp; Drink</v>
      </c>
      <c r="D531" s="530" t="s">
        <v>241</v>
      </c>
      <c r="E531" s="530" t="s">
        <v>20</v>
      </c>
      <c r="F531" s="530" t="s">
        <v>49</v>
      </c>
      <c r="G531" s="530" t="s">
        <v>49</v>
      </c>
      <c r="H531" s="530">
        <v>0</v>
      </c>
      <c r="I531" s="530">
        <v>0</v>
      </c>
      <c r="J531" s="530">
        <v>308.17243795479789</v>
      </c>
      <c r="K531" s="530">
        <v>892.25045416873172</v>
      </c>
      <c r="L531" s="530">
        <v>949.69777972907002</v>
      </c>
      <c r="M531" s="530">
        <v>2691.8919928080227</v>
      </c>
      <c r="N531" s="530">
        <v>4338.3189436789444</v>
      </c>
      <c r="O531" s="530">
        <v>5896.8146138007605</v>
      </c>
      <c r="P531" s="530">
        <v>3923.7300929378589</v>
      </c>
      <c r="Q531" s="530">
        <v>2981.8677976765825</v>
      </c>
      <c r="R531" s="530">
        <v>854.68192093626521</v>
      </c>
      <c r="S531" s="530">
        <v>529.89457576500115</v>
      </c>
      <c r="T531" s="530">
        <v>1947.2767174546696</v>
      </c>
      <c r="U531" s="530" t="s">
        <v>59</v>
      </c>
    </row>
    <row r="532" spans="1:21" ht="13.8" x14ac:dyDescent="0.3">
      <c r="A532" s="530" t="str">
        <f t="shared" si="16"/>
        <v>Conwy.2021.Employment.Recreation</v>
      </c>
      <c r="B532" s="530" t="s">
        <v>219</v>
      </c>
      <c r="C532" s="530" t="str">
        <f t="shared" si="17"/>
        <v>2021.Employment.Recreation</v>
      </c>
      <c r="D532" s="530" t="s">
        <v>241</v>
      </c>
      <c r="E532" s="530" t="s">
        <v>20</v>
      </c>
      <c r="F532" s="530" t="s">
        <v>50</v>
      </c>
      <c r="G532" s="530" t="s">
        <v>50</v>
      </c>
      <c r="H532" s="530">
        <v>0</v>
      </c>
      <c r="I532" s="530">
        <v>0</v>
      </c>
      <c r="J532" s="530">
        <v>94.753889052478215</v>
      </c>
      <c r="K532" s="530">
        <v>410.06718525236619</v>
      </c>
      <c r="L532" s="530">
        <v>366.34798021773514</v>
      </c>
      <c r="M532" s="530">
        <v>898.77946779678075</v>
      </c>
      <c r="N532" s="530">
        <v>1332.8413225545521</v>
      </c>
      <c r="O532" s="530">
        <v>1535.2344399516883</v>
      </c>
      <c r="P532" s="530">
        <v>1048.0956026774513</v>
      </c>
      <c r="Q532" s="530">
        <v>851.44269862504382</v>
      </c>
      <c r="R532" s="530">
        <v>271.22626440177999</v>
      </c>
      <c r="S532" s="530">
        <v>160.23066684959619</v>
      </c>
      <c r="T532" s="530">
        <v>580.75162644828924</v>
      </c>
      <c r="U532" s="530" t="s">
        <v>59</v>
      </c>
    </row>
    <row r="533" spans="1:21" ht="13.8" x14ac:dyDescent="0.3">
      <c r="A533" s="530" t="str">
        <f t="shared" si="16"/>
        <v>Conwy.2021.Employment.Shopping</v>
      </c>
      <c r="B533" s="530" t="s">
        <v>219</v>
      </c>
      <c r="C533" s="530" t="str">
        <f t="shared" si="17"/>
        <v>2021.Employment.Shopping</v>
      </c>
      <c r="D533" s="530" t="s">
        <v>241</v>
      </c>
      <c r="E533" s="530" t="s">
        <v>20</v>
      </c>
      <c r="F533" s="530" t="s">
        <v>51</v>
      </c>
      <c r="G533" s="530" t="s">
        <v>51</v>
      </c>
      <c r="H533" s="530">
        <v>0</v>
      </c>
      <c r="I533" s="530">
        <v>0</v>
      </c>
      <c r="J533" s="530">
        <v>325.73705738710538</v>
      </c>
      <c r="K533" s="530">
        <v>609.63975934980192</v>
      </c>
      <c r="L533" s="530">
        <v>628.04278361100864</v>
      </c>
      <c r="M533" s="530">
        <v>2943.5766707252151</v>
      </c>
      <c r="N533" s="530">
        <v>4654.5307640191304</v>
      </c>
      <c r="O533" s="530">
        <v>6269.2465161209711</v>
      </c>
      <c r="P533" s="530">
        <v>3770.0839015660895</v>
      </c>
      <c r="Q533" s="530">
        <v>2613.2271911495986</v>
      </c>
      <c r="R533" s="530">
        <v>822.73850538464455</v>
      </c>
      <c r="S533" s="530">
        <v>455.70308280637613</v>
      </c>
      <c r="T533" s="530">
        <v>1924.3771860099953</v>
      </c>
      <c r="U533" s="530" t="s">
        <v>59</v>
      </c>
    </row>
    <row r="534" spans="1:21" ht="13.8" x14ac:dyDescent="0.3">
      <c r="A534" s="530" t="str">
        <f t="shared" si="16"/>
        <v>Conwy.2021.Employment.Transport</v>
      </c>
      <c r="B534" s="530" t="s">
        <v>219</v>
      </c>
      <c r="C534" s="530" t="str">
        <f t="shared" si="17"/>
        <v>2021.Employment.Transport</v>
      </c>
      <c r="D534" s="530" t="s">
        <v>241</v>
      </c>
      <c r="E534" s="530" t="s">
        <v>20</v>
      </c>
      <c r="F534" s="530" t="s">
        <v>52</v>
      </c>
      <c r="G534" s="530" t="s">
        <v>52</v>
      </c>
      <c r="H534" s="530">
        <v>0</v>
      </c>
      <c r="I534" s="530">
        <v>0</v>
      </c>
      <c r="J534" s="530">
        <v>47.31652779044547</v>
      </c>
      <c r="K534" s="530">
        <v>139.39102093656032</v>
      </c>
      <c r="L534" s="530">
        <v>134.48785633606917</v>
      </c>
      <c r="M534" s="530">
        <v>429.66286235495119</v>
      </c>
      <c r="N534" s="530">
        <v>674.92596658346986</v>
      </c>
      <c r="O534" s="530">
        <v>872.05548054291842</v>
      </c>
      <c r="P534" s="530">
        <v>564.17813441184819</v>
      </c>
      <c r="Q534" s="530">
        <v>439.23551587999373</v>
      </c>
      <c r="R534" s="530">
        <v>133.25995405594699</v>
      </c>
      <c r="S534" s="530">
        <v>77.693044195435107</v>
      </c>
      <c r="T534" s="530">
        <v>292.68386359063646</v>
      </c>
      <c r="U534" s="530" t="s">
        <v>59</v>
      </c>
    </row>
    <row r="535" spans="1:21" ht="13.8" x14ac:dyDescent="0.3">
      <c r="A535" s="530" t="str">
        <f t="shared" si="16"/>
        <v>Conwy.2021.Visitor Days.Serviced Accommodation</v>
      </c>
      <c r="B535" s="530" t="s">
        <v>219</v>
      </c>
      <c r="C535" s="530" t="str">
        <f t="shared" si="17"/>
        <v>2021.Visitor Days.Serviced Accommodation</v>
      </c>
      <c r="D535" s="530" t="s">
        <v>241</v>
      </c>
      <c r="E535" s="530" t="s">
        <v>171</v>
      </c>
      <c r="F535" s="530" t="s">
        <v>43</v>
      </c>
      <c r="G535" s="530" t="s">
        <v>43</v>
      </c>
      <c r="H535" s="530">
        <v>0</v>
      </c>
      <c r="I535" s="530">
        <v>0</v>
      </c>
      <c r="J535" s="530">
        <v>0</v>
      </c>
      <c r="K535" s="530">
        <v>0</v>
      </c>
      <c r="L535" s="530">
        <v>82.187155217008652</v>
      </c>
      <c r="M535" s="530">
        <v>179.68040714337795</v>
      </c>
      <c r="N535" s="530">
        <v>192.9530476658187</v>
      </c>
      <c r="O535" s="530">
        <v>195.30122852123196</v>
      </c>
      <c r="P535" s="530">
        <v>157.15991813212878</v>
      </c>
      <c r="Q535" s="530">
        <v>116.12765389134523</v>
      </c>
      <c r="R535" s="530">
        <v>142.50264444666962</v>
      </c>
      <c r="S535" s="530">
        <v>96.459353662510637</v>
      </c>
      <c r="T535" s="530">
        <v>1162.3714086800917</v>
      </c>
      <c r="U535" s="530" t="s">
        <v>61</v>
      </c>
    </row>
    <row r="536" spans="1:21" ht="13.8" x14ac:dyDescent="0.3">
      <c r="A536" s="530" t="str">
        <f t="shared" si="16"/>
        <v>Conwy.2021.Visitor Days.Non-Serviced Accommodation</v>
      </c>
      <c r="B536" s="530" t="s">
        <v>219</v>
      </c>
      <c r="C536" s="530" t="str">
        <f t="shared" si="17"/>
        <v>2021.Visitor Days.Non-Serviced Accommodation</v>
      </c>
      <c r="D536" s="530" t="s">
        <v>241</v>
      </c>
      <c r="E536" s="530" t="s">
        <v>171</v>
      </c>
      <c r="F536" s="530" t="s">
        <v>48</v>
      </c>
      <c r="G536" s="530" t="s">
        <v>48</v>
      </c>
      <c r="H536" s="530">
        <v>0</v>
      </c>
      <c r="I536" s="530">
        <v>0</v>
      </c>
      <c r="J536" s="530">
        <v>87.243751420892394</v>
      </c>
      <c r="K536" s="530">
        <v>454.08082735597122</v>
      </c>
      <c r="L536" s="530">
        <v>401.28863698570626</v>
      </c>
      <c r="M536" s="530">
        <v>520.66028593116835</v>
      </c>
      <c r="N536" s="530">
        <v>931.06802095061119</v>
      </c>
      <c r="O536" s="530">
        <v>1379.1650551271484</v>
      </c>
      <c r="P536" s="530">
        <v>1110.1998186411568</v>
      </c>
      <c r="Q536" s="530">
        <v>1115.1196083123116</v>
      </c>
      <c r="R536" s="530">
        <v>183.6976329725197</v>
      </c>
      <c r="S536" s="530">
        <v>120.3041335153362</v>
      </c>
      <c r="T536" s="530">
        <v>6302.827771212822</v>
      </c>
      <c r="U536" s="530" t="s">
        <v>61</v>
      </c>
    </row>
    <row r="537" spans="1:21" ht="13.8" x14ac:dyDescent="0.3">
      <c r="A537" s="530" t="str">
        <f t="shared" si="16"/>
        <v>Conwy.2021.Visitor Days.SFR</v>
      </c>
      <c r="B537" s="530" t="s">
        <v>219</v>
      </c>
      <c r="C537" s="530" t="str">
        <f t="shared" si="17"/>
        <v>2021.Visitor Days.SFR</v>
      </c>
      <c r="D537" s="530" t="s">
        <v>241</v>
      </c>
      <c r="E537" s="530" t="s">
        <v>171</v>
      </c>
      <c r="F537" s="530" t="s">
        <v>18</v>
      </c>
      <c r="G537" s="530" t="s">
        <v>18</v>
      </c>
      <c r="H537" s="530">
        <v>0</v>
      </c>
      <c r="I537" s="530">
        <v>0</v>
      </c>
      <c r="J537" s="530">
        <v>0</v>
      </c>
      <c r="K537" s="530">
        <v>0</v>
      </c>
      <c r="L537" s="530">
        <v>3.5455199999999998</v>
      </c>
      <c r="M537" s="530">
        <v>2.7311785199999998</v>
      </c>
      <c r="N537" s="530">
        <v>22.159500000000001</v>
      </c>
      <c r="O537" s="530">
        <v>23.457912400000001</v>
      </c>
      <c r="P537" s="530">
        <v>12.082729260000001</v>
      </c>
      <c r="Q537" s="530">
        <v>12.070884</v>
      </c>
      <c r="R537" s="530">
        <v>9.4057004999999965</v>
      </c>
      <c r="S537" s="530">
        <v>27.236039999999999</v>
      </c>
      <c r="T537" s="530">
        <v>112.68946468</v>
      </c>
      <c r="U537" s="530" t="s">
        <v>61</v>
      </c>
    </row>
    <row r="538" spans="1:21" ht="13.8" x14ac:dyDescent="0.3">
      <c r="A538" s="530" t="str">
        <f t="shared" si="16"/>
        <v>Conwy.2021.Visitor Days.Day Visitor</v>
      </c>
      <c r="B538" s="530" t="s">
        <v>219</v>
      </c>
      <c r="C538" s="530" t="str">
        <f t="shared" si="17"/>
        <v>2021.Visitor Days.Day Visitor</v>
      </c>
      <c r="D538" s="530" t="s">
        <v>241</v>
      </c>
      <c r="E538" s="530" t="s">
        <v>171</v>
      </c>
      <c r="F538" s="530" t="s">
        <v>71</v>
      </c>
      <c r="G538" s="530" t="s">
        <v>71</v>
      </c>
      <c r="H538" s="530">
        <v>0</v>
      </c>
      <c r="I538" s="530">
        <v>0</v>
      </c>
      <c r="J538" s="530">
        <v>79.50542026772824</v>
      </c>
      <c r="K538" s="530">
        <v>706.44330685287127</v>
      </c>
      <c r="L538" s="530">
        <v>652.21606017154306</v>
      </c>
      <c r="M538" s="530">
        <v>737.93856549254133</v>
      </c>
      <c r="N538" s="530">
        <v>1159.7972740703794</v>
      </c>
      <c r="O538" s="530">
        <v>1572.6437897967228</v>
      </c>
      <c r="P538" s="530">
        <v>797.71503150548381</v>
      </c>
      <c r="Q538" s="530">
        <v>389.04933295087312</v>
      </c>
      <c r="R538" s="530">
        <v>129.03220097874768</v>
      </c>
      <c r="S538" s="530">
        <v>38.770689570818021</v>
      </c>
      <c r="T538" s="530">
        <v>6263.1116716577098</v>
      </c>
      <c r="U538" s="530" t="s">
        <v>61</v>
      </c>
    </row>
    <row r="539" spans="1:21" ht="13.8" x14ac:dyDescent="0.3">
      <c r="A539" s="530" t="str">
        <f t="shared" si="16"/>
        <v>Conwy.2021.Visitor Days.Total</v>
      </c>
      <c r="B539" s="530" t="s">
        <v>219</v>
      </c>
      <c r="C539" s="530" t="str">
        <f t="shared" si="17"/>
        <v>2021.Visitor Days.Total</v>
      </c>
      <c r="D539" s="530" t="s">
        <v>241</v>
      </c>
      <c r="E539" s="530" t="s">
        <v>171</v>
      </c>
      <c r="F539" s="530" t="s">
        <v>54</v>
      </c>
      <c r="G539" s="530" t="s">
        <v>54</v>
      </c>
      <c r="H539" s="530">
        <v>0</v>
      </c>
      <c r="I539" s="530">
        <v>0</v>
      </c>
      <c r="J539" s="530">
        <v>166.74917168862063</v>
      </c>
      <c r="K539" s="530">
        <v>1160.5241342088425</v>
      </c>
      <c r="L539" s="530">
        <v>1139.237372374258</v>
      </c>
      <c r="M539" s="530">
        <v>1441.0104370870877</v>
      </c>
      <c r="N539" s="530">
        <v>2305.9778426868093</v>
      </c>
      <c r="O539" s="530">
        <v>3170.5679858451031</v>
      </c>
      <c r="P539" s="530">
        <v>2077.1574975387693</v>
      </c>
      <c r="Q539" s="530">
        <v>1632.36747915453</v>
      </c>
      <c r="R539" s="530">
        <v>464.638178897937</v>
      </c>
      <c r="S539" s="530">
        <v>282.77021674866489</v>
      </c>
      <c r="T539" s="530">
        <v>13841.000316230624</v>
      </c>
      <c r="U539" s="530" t="s">
        <v>61</v>
      </c>
    </row>
    <row r="540" spans="1:21" ht="13.8" x14ac:dyDescent="0.3">
      <c r="A540" s="530" t="str">
        <f t="shared" si="16"/>
        <v>Conwy.2021.Visitor Numbers.Serviced Accommodation</v>
      </c>
      <c r="B540" s="530" t="s">
        <v>219</v>
      </c>
      <c r="C540" s="530" t="str">
        <f t="shared" si="17"/>
        <v>2021.Visitor Numbers.Serviced Accommodation</v>
      </c>
      <c r="D540" s="530" t="s">
        <v>241</v>
      </c>
      <c r="E540" s="530" t="s">
        <v>172</v>
      </c>
      <c r="F540" s="530" t="s">
        <v>43</v>
      </c>
      <c r="G540" s="530" t="s">
        <v>43</v>
      </c>
      <c r="H540" s="530">
        <v>0</v>
      </c>
      <c r="I540" s="530">
        <v>0</v>
      </c>
      <c r="J540" s="530">
        <v>0</v>
      </c>
      <c r="K540" s="530">
        <v>0</v>
      </c>
      <c r="L540" s="530">
        <v>43.487801796515662</v>
      </c>
      <c r="M540" s="530">
        <v>100.76670668469212</v>
      </c>
      <c r="N540" s="530">
        <v>108.45261420474891</v>
      </c>
      <c r="O540" s="530">
        <v>108.60825573708347</v>
      </c>
      <c r="P540" s="530">
        <v>79.13114383594737</v>
      </c>
      <c r="Q540" s="530">
        <v>67.407156807063231</v>
      </c>
      <c r="R540" s="530">
        <v>82.301915568381332</v>
      </c>
      <c r="S540" s="530">
        <v>58.945781897254641</v>
      </c>
      <c r="T540" s="530">
        <v>649.10137653168681</v>
      </c>
      <c r="U540" s="530" t="s">
        <v>61</v>
      </c>
    </row>
    <row r="541" spans="1:21" ht="13.8" x14ac:dyDescent="0.3">
      <c r="A541" s="530" t="str">
        <f t="shared" si="16"/>
        <v>Conwy.2021.Visitor Numbers.Non-Serviced Accommodation</v>
      </c>
      <c r="B541" s="530" t="s">
        <v>219</v>
      </c>
      <c r="C541" s="530" t="str">
        <f t="shared" si="17"/>
        <v>2021.Visitor Numbers.Non-Serviced Accommodation</v>
      </c>
      <c r="D541" s="530" t="s">
        <v>241</v>
      </c>
      <c r="E541" s="530" t="s">
        <v>172</v>
      </c>
      <c r="F541" s="530" t="s">
        <v>48</v>
      </c>
      <c r="G541" s="530" t="s">
        <v>48</v>
      </c>
      <c r="H541" s="530">
        <v>0</v>
      </c>
      <c r="I541" s="530">
        <v>0</v>
      </c>
      <c r="J541" s="530">
        <v>18.175781546019252</v>
      </c>
      <c r="K541" s="530">
        <v>70.950129274370497</v>
      </c>
      <c r="L541" s="530">
        <v>58.157773476189305</v>
      </c>
      <c r="M541" s="530">
        <v>74.380040847309758</v>
      </c>
      <c r="N541" s="530">
        <v>131.13634097895931</v>
      </c>
      <c r="O541" s="530">
        <v>181.46908620094058</v>
      </c>
      <c r="P541" s="530">
        <v>160.89852444074737</v>
      </c>
      <c r="Q541" s="530">
        <v>159.30280118747311</v>
      </c>
      <c r="R541" s="530">
        <v>40.821696216115491</v>
      </c>
      <c r="S541" s="530">
        <v>21.482880984881465</v>
      </c>
      <c r="T541" s="530">
        <v>916.77505515300606</v>
      </c>
      <c r="U541" s="530" t="s">
        <v>61</v>
      </c>
    </row>
    <row r="542" spans="1:21" ht="13.8" x14ac:dyDescent="0.3">
      <c r="A542" s="530" t="str">
        <f t="shared" si="16"/>
        <v>Conwy.2021.Visitor Numbers.SFR</v>
      </c>
      <c r="B542" s="530" t="s">
        <v>219</v>
      </c>
      <c r="C542" s="530" t="str">
        <f t="shared" si="17"/>
        <v>2021.Visitor Numbers.SFR</v>
      </c>
      <c r="D542" s="530" t="s">
        <v>241</v>
      </c>
      <c r="E542" s="530" t="s">
        <v>172</v>
      </c>
      <c r="F542" s="530" t="s">
        <v>18</v>
      </c>
      <c r="G542" s="530" t="s">
        <v>18</v>
      </c>
      <c r="H542" s="530">
        <v>0</v>
      </c>
      <c r="I542" s="530">
        <v>0</v>
      </c>
      <c r="J542" s="530">
        <v>0</v>
      </c>
      <c r="K542" s="530">
        <v>0</v>
      </c>
      <c r="L542" s="530">
        <v>1.6115999999999997</v>
      </c>
      <c r="M542" s="530">
        <v>1.3005612</v>
      </c>
      <c r="N542" s="530">
        <v>8.8638000000000012</v>
      </c>
      <c r="O542" s="530">
        <v>9.0222739999999995</v>
      </c>
      <c r="P542" s="530">
        <v>5.5680780000000007</v>
      </c>
      <c r="Q542" s="530">
        <v>5.6405999999999992</v>
      </c>
      <c r="R542" s="530">
        <v>4.6333499999999983</v>
      </c>
      <c r="S542" s="530">
        <v>10.475399999999999</v>
      </c>
      <c r="T542" s="530">
        <v>47.1156632</v>
      </c>
      <c r="U542" s="530" t="s">
        <v>61</v>
      </c>
    </row>
    <row r="543" spans="1:21" ht="13.8" x14ac:dyDescent="0.3">
      <c r="A543" s="530" t="str">
        <f t="shared" si="16"/>
        <v>Conwy.2021.Visitor Numbers.Day Visitor</v>
      </c>
      <c r="B543" s="530" t="s">
        <v>219</v>
      </c>
      <c r="C543" s="530" t="str">
        <f t="shared" si="17"/>
        <v>2021.Visitor Numbers.Day Visitor</v>
      </c>
      <c r="D543" s="530" t="s">
        <v>241</v>
      </c>
      <c r="E543" s="530" t="s">
        <v>172</v>
      </c>
      <c r="F543" s="530" t="s">
        <v>71</v>
      </c>
      <c r="G543" s="530" t="s">
        <v>71</v>
      </c>
      <c r="H543" s="530">
        <v>0</v>
      </c>
      <c r="I543" s="530">
        <v>0</v>
      </c>
      <c r="J543" s="530">
        <v>79.50542026772824</v>
      </c>
      <c r="K543" s="530">
        <v>706.44330685287127</v>
      </c>
      <c r="L543" s="530">
        <v>652.21606017154306</v>
      </c>
      <c r="M543" s="530">
        <v>737.93856549254133</v>
      </c>
      <c r="N543" s="530">
        <v>1159.7972740703794</v>
      </c>
      <c r="O543" s="530">
        <v>1572.6437897967228</v>
      </c>
      <c r="P543" s="530">
        <v>797.71503150548381</v>
      </c>
      <c r="Q543" s="530">
        <v>389.04933295087312</v>
      </c>
      <c r="R543" s="530">
        <v>129.03220097874768</v>
      </c>
      <c r="S543" s="530">
        <v>38.770689570818021</v>
      </c>
      <c r="T543" s="530">
        <v>6263.1116716577098</v>
      </c>
      <c r="U543" s="530" t="s">
        <v>61</v>
      </c>
    </row>
    <row r="544" spans="1:21" ht="13.8" x14ac:dyDescent="0.3">
      <c r="A544" s="530" t="str">
        <f t="shared" si="16"/>
        <v>Conwy.2021.Visitor Numbers.Total</v>
      </c>
      <c r="B544" s="530" t="s">
        <v>219</v>
      </c>
      <c r="C544" s="530" t="str">
        <f t="shared" si="17"/>
        <v>2021.Visitor Numbers.Total</v>
      </c>
      <c r="D544" s="530" t="s">
        <v>241</v>
      </c>
      <c r="E544" s="530" t="s">
        <v>172</v>
      </c>
      <c r="F544" s="530" t="s">
        <v>54</v>
      </c>
      <c r="G544" s="530" t="s">
        <v>54</v>
      </c>
      <c r="H544" s="530">
        <v>0</v>
      </c>
      <c r="I544" s="530">
        <v>0</v>
      </c>
      <c r="J544" s="530">
        <v>97.681201813747492</v>
      </c>
      <c r="K544" s="530">
        <v>777.39343612724178</v>
      </c>
      <c r="L544" s="530">
        <v>755.47323544424808</v>
      </c>
      <c r="M544" s="530">
        <v>914.38587422454316</v>
      </c>
      <c r="N544" s="530">
        <v>1408.2500292540876</v>
      </c>
      <c r="O544" s="530">
        <v>1871.7434057347468</v>
      </c>
      <c r="P544" s="530">
        <v>1043.3127777821785</v>
      </c>
      <c r="Q544" s="530">
        <v>621.39989094540942</v>
      </c>
      <c r="R544" s="530">
        <v>256.78916276324452</v>
      </c>
      <c r="S544" s="530">
        <v>129.67475245295412</v>
      </c>
      <c r="T544" s="530">
        <v>7876.103766542401</v>
      </c>
      <c r="U544" s="530" t="s">
        <v>61</v>
      </c>
    </row>
    <row r="545" spans="1:21" ht="13.8" x14ac:dyDescent="0.3">
      <c r="A545" s="530" t="str">
        <f t="shared" si="16"/>
        <v>Conwy.2021.Vehicle Days.Serviced Accommodation</v>
      </c>
      <c r="B545" s="530" t="s">
        <v>219</v>
      </c>
      <c r="C545" s="530" t="str">
        <f t="shared" si="17"/>
        <v>2021.Vehicle Days.Serviced Accommodation</v>
      </c>
      <c r="D545" s="530" t="s">
        <v>241</v>
      </c>
      <c r="E545" s="530" t="s">
        <v>21</v>
      </c>
      <c r="F545" s="530" t="s">
        <v>43</v>
      </c>
      <c r="G545" s="530" t="s">
        <v>43</v>
      </c>
      <c r="H545" s="530">
        <v>0</v>
      </c>
      <c r="I545" s="530">
        <v>0</v>
      </c>
      <c r="J545" s="530">
        <v>0</v>
      </c>
      <c r="K545" s="530">
        <v>0</v>
      </c>
      <c r="L545" s="530">
        <v>22.797439512304095</v>
      </c>
      <c r="M545" s="530">
        <v>49.765103851939656</v>
      </c>
      <c r="N545" s="530">
        <v>49.950082765388544</v>
      </c>
      <c r="O545" s="530">
        <v>50.624268670082962</v>
      </c>
      <c r="P545" s="530">
        <v>40.730400184439922</v>
      </c>
      <c r="Q545" s="530">
        <v>35.888256218125242</v>
      </c>
      <c r="R545" s="530">
        <v>44.94091362488146</v>
      </c>
      <c r="S545" s="530">
        <v>25.026761331005694</v>
      </c>
      <c r="T545" s="530">
        <v>319.72322615816756</v>
      </c>
      <c r="U545" s="530" t="s">
        <v>61</v>
      </c>
    </row>
    <row r="546" spans="1:21" ht="13.8" x14ac:dyDescent="0.3">
      <c r="A546" s="530" t="str">
        <f t="shared" si="16"/>
        <v>Conwy.2021.Vehicle Days.Non-Serviced Accommodation</v>
      </c>
      <c r="B546" s="530" t="s">
        <v>219</v>
      </c>
      <c r="C546" s="530" t="str">
        <f t="shared" si="17"/>
        <v>2021.Vehicle Days.Non-Serviced Accommodation</v>
      </c>
      <c r="D546" s="530" t="s">
        <v>241</v>
      </c>
      <c r="E546" s="530" t="s">
        <v>21</v>
      </c>
      <c r="F546" s="530" t="s">
        <v>48</v>
      </c>
      <c r="G546" s="530" t="s">
        <v>48</v>
      </c>
      <c r="H546" s="530">
        <v>0</v>
      </c>
      <c r="I546" s="530">
        <v>0</v>
      </c>
      <c r="J546" s="530">
        <v>23.259394976588297</v>
      </c>
      <c r="K546" s="530">
        <v>122.17053720242671</v>
      </c>
      <c r="L546" s="530">
        <v>109.21629220587023</v>
      </c>
      <c r="M546" s="530">
        <v>146.92491055431148</v>
      </c>
      <c r="N546" s="530">
        <v>243.7211142501418</v>
      </c>
      <c r="O546" s="530">
        <v>340.00210719483943</v>
      </c>
      <c r="P546" s="530">
        <v>284.77538746392116</v>
      </c>
      <c r="Q546" s="530">
        <v>283.31152399071198</v>
      </c>
      <c r="R546" s="530">
        <v>50.973657120538093</v>
      </c>
      <c r="S546" s="530">
        <v>26.58297947192353</v>
      </c>
      <c r="T546" s="530">
        <v>1630.9379044312727</v>
      </c>
      <c r="U546" s="530" t="s">
        <v>61</v>
      </c>
    </row>
    <row r="547" spans="1:21" ht="13.8" x14ac:dyDescent="0.3">
      <c r="A547" s="530" t="str">
        <f t="shared" si="16"/>
        <v>Conwy.2021.Vehicle Days.SFR</v>
      </c>
      <c r="B547" s="530" t="s">
        <v>219</v>
      </c>
      <c r="C547" s="530" t="str">
        <f t="shared" si="17"/>
        <v>2021.Vehicle Days.SFR</v>
      </c>
      <c r="D547" s="530" t="s">
        <v>241</v>
      </c>
      <c r="E547" s="530" t="s">
        <v>21</v>
      </c>
      <c r="F547" s="530" t="s">
        <v>18</v>
      </c>
      <c r="G547" s="530" t="s">
        <v>18</v>
      </c>
      <c r="H547" s="530">
        <v>0</v>
      </c>
      <c r="I547" s="530">
        <v>0</v>
      </c>
      <c r="J547" s="530">
        <v>0</v>
      </c>
      <c r="K547" s="530">
        <v>0</v>
      </c>
      <c r="L547" s="530">
        <v>1.1109296</v>
      </c>
      <c r="M547" s="530">
        <v>0.85576926959999988</v>
      </c>
      <c r="N547" s="530">
        <v>6.9433100000000003</v>
      </c>
      <c r="O547" s="530">
        <v>7.3501458853333332</v>
      </c>
      <c r="P547" s="530">
        <v>3.7859218347999999</v>
      </c>
      <c r="Q547" s="530">
        <v>3.7822103199999995</v>
      </c>
      <c r="R547" s="530">
        <v>2.9471194899999986</v>
      </c>
      <c r="S547" s="530">
        <v>8.5339592</v>
      </c>
      <c r="T547" s="530">
        <v>35.309365599733333</v>
      </c>
      <c r="U547" s="530" t="s">
        <v>61</v>
      </c>
    </row>
    <row r="548" spans="1:21" ht="13.8" x14ac:dyDescent="0.3">
      <c r="A548" s="530" t="str">
        <f t="shared" si="16"/>
        <v>Conwy.2021.Vehicle Days.Day Visitor</v>
      </c>
      <c r="B548" s="530" t="s">
        <v>219</v>
      </c>
      <c r="C548" s="530" t="str">
        <f t="shared" si="17"/>
        <v>2021.Vehicle Days.Day Visitor</v>
      </c>
      <c r="D548" s="530" t="s">
        <v>241</v>
      </c>
      <c r="E548" s="530" t="s">
        <v>21</v>
      </c>
      <c r="F548" s="530" t="s">
        <v>71</v>
      </c>
      <c r="G548" s="530" t="s">
        <v>71</v>
      </c>
      <c r="H548" s="530">
        <v>0</v>
      </c>
      <c r="I548" s="530">
        <v>0</v>
      </c>
      <c r="J548" s="530">
        <v>19.9899342387431</v>
      </c>
      <c r="K548" s="530">
        <v>155.41752750763169</v>
      </c>
      <c r="L548" s="530">
        <v>143.48753323773948</v>
      </c>
      <c r="M548" s="530">
        <v>185.53883932383897</v>
      </c>
      <c r="N548" s="530">
        <v>255.15540029548347</v>
      </c>
      <c r="O548" s="530">
        <v>345.98163375527901</v>
      </c>
      <c r="P548" s="530">
        <v>175.49730693120645</v>
      </c>
      <c r="Q548" s="530">
        <v>97.818117999076676</v>
      </c>
      <c r="R548" s="530">
        <v>32.442381960370845</v>
      </c>
      <c r="S548" s="530">
        <v>8.5295517055799639</v>
      </c>
      <c r="T548" s="530">
        <v>1419.8582269549495</v>
      </c>
      <c r="U548" s="530" t="s">
        <v>61</v>
      </c>
    </row>
    <row r="549" spans="1:21" ht="13.8" x14ac:dyDescent="0.3">
      <c r="A549" s="530" t="str">
        <f t="shared" si="16"/>
        <v>Conwy.2021.Vehicle Days.Total</v>
      </c>
      <c r="B549" s="530" t="s">
        <v>219</v>
      </c>
      <c r="C549" s="530" t="str">
        <f t="shared" si="17"/>
        <v>2021.Vehicle Days.Total</v>
      </c>
      <c r="D549" s="530" t="s">
        <v>241</v>
      </c>
      <c r="E549" s="530" t="s">
        <v>21</v>
      </c>
      <c r="F549" s="530" t="s">
        <v>54</v>
      </c>
      <c r="G549" s="530" t="s">
        <v>54</v>
      </c>
      <c r="H549" s="530">
        <v>0</v>
      </c>
      <c r="I549" s="530">
        <v>0</v>
      </c>
      <c r="J549" s="530">
        <v>43.2493292153314</v>
      </c>
      <c r="K549" s="530">
        <v>277.5880647100584</v>
      </c>
      <c r="L549" s="530">
        <v>276.61219455591379</v>
      </c>
      <c r="M549" s="530">
        <v>383.08462299969005</v>
      </c>
      <c r="N549" s="530">
        <v>555.76990731101375</v>
      </c>
      <c r="O549" s="530">
        <v>743.95815550553471</v>
      </c>
      <c r="P549" s="530">
        <v>504.78901641436755</v>
      </c>
      <c r="Q549" s="530">
        <v>420.80010852791389</v>
      </c>
      <c r="R549" s="530">
        <v>131.30407219579041</v>
      </c>
      <c r="S549" s="530">
        <v>68.673251708509184</v>
      </c>
      <c r="T549" s="530">
        <v>3405.8287231441236</v>
      </c>
      <c r="U549" s="530" t="s">
        <v>61</v>
      </c>
    </row>
    <row r="550" spans="1:21" ht="13.8" x14ac:dyDescent="0.3">
      <c r="A550" s="530" t="str">
        <f t="shared" si="16"/>
        <v>Conwy.2021.Vehicle Numbers.Serviced Accommodation</v>
      </c>
      <c r="B550" s="530" t="s">
        <v>219</v>
      </c>
      <c r="C550" s="530" t="str">
        <f t="shared" si="17"/>
        <v>2021.Vehicle Numbers.Serviced Accommodation</v>
      </c>
      <c r="D550" s="530" t="s">
        <v>241</v>
      </c>
      <c r="E550" s="530" t="s">
        <v>22</v>
      </c>
      <c r="F550" s="530" t="s">
        <v>43</v>
      </c>
      <c r="G550" s="530" t="s">
        <v>43</v>
      </c>
      <c r="H550" s="530">
        <v>0</v>
      </c>
      <c r="I550" s="530">
        <v>0</v>
      </c>
      <c r="J550" s="530">
        <v>0</v>
      </c>
      <c r="K550" s="530">
        <v>0</v>
      </c>
      <c r="L550" s="530">
        <v>12.049411492652048</v>
      </c>
      <c r="M550" s="530">
        <v>27.900887873423947</v>
      </c>
      <c r="N550" s="530">
        <v>28.076729900054541</v>
      </c>
      <c r="O550" s="530">
        <v>28.157067151937838</v>
      </c>
      <c r="P550" s="530">
        <v>20.508508132389533</v>
      </c>
      <c r="Q550" s="530">
        <v>20.858353896099995</v>
      </c>
      <c r="R550" s="530">
        <v>25.5928251456615</v>
      </c>
      <c r="S550" s="530">
        <v>15.296641837037832</v>
      </c>
      <c r="T550" s="530">
        <v>178.44042542925723</v>
      </c>
      <c r="U550" s="530" t="s">
        <v>61</v>
      </c>
    </row>
    <row r="551" spans="1:21" ht="13.8" x14ac:dyDescent="0.3">
      <c r="A551" s="530" t="str">
        <f t="shared" si="16"/>
        <v>Conwy.2021.Vehicle Numbers.Non-Serviced Accommodation</v>
      </c>
      <c r="B551" s="530" t="s">
        <v>219</v>
      </c>
      <c r="C551" s="530" t="str">
        <f t="shared" si="17"/>
        <v>2021.Vehicle Numbers.Non-Serviced Accommodation</v>
      </c>
      <c r="D551" s="530" t="s">
        <v>241</v>
      </c>
      <c r="E551" s="530" t="s">
        <v>22</v>
      </c>
      <c r="F551" s="530" t="s">
        <v>48</v>
      </c>
      <c r="G551" s="530" t="s">
        <v>48</v>
      </c>
      <c r="H551" s="530">
        <v>0</v>
      </c>
      <c r="I551" s="530">
        <v>0</v>
      </c>
      <c r="J551" s="530">
        <v>4.8457072867892288</v>
      </c>
      <c r="K551" s="530">
        <v>19.089146437879172</v>
      </c>
      <c r="L551" s="530">
        <v>15.828448145778294</v>
      </c>
      <c r="M551" s="530">
        <v>20.98927293633021</v>
      </c>
      <c r="N551" s="530">
        <v>34.326917500019974</v>
      </c>
      <c r="O551" s="530">
        <v>44.737119367742025</v>
      </c>
      <c r="P551" s="530">
        <v>41.271795284626243</v>
      </c>
      <c r="Q551" s="530">
        <v>40.473074855816009</v>
      </c>
      <c r="R551" s="530">
        <v>11.327479360119575</v>
      </c>
      <c r="S551" s="530">
        <v>4.7469606199863446</v>
      </c>
      <c r="T551" s="530">
        <v>237.63592179508709</v>
      </c>
      <c r="U551" s="530" t="s">
        <v>61</v>
      </c>
    </row>
    <row r="552" spans="1:21" ht="13.8" x14ac:dyDescent="0.3">
      <c r="A552" s="530" t="str">
        <f t="shared" si="16"/>
        <v>Conwy.2021.Vehicle Numbers.SFR</v>
      </c>
      <c r="B552" s="530" t="s">
        <v>219</v>
      </c>
      <c r="C552" s="530" t="str">
        <f t="shared" si="17"/>
        <v>2021.Vehicle Numbers.SFR</v>
      </c>
      <c r="D552" s="530" t="s">
        <v>241</v>
      </c>
      <c r="E552" s="530" t="s">
        <v>22</v>
      </c>
      <c r="F552" s="530" t="s">
        <v>18</v>
      </c>
      <c r="G552" s="530" t="s">
        <v>18</v>
      </c>
      <c r="H552" s="530">
        <v>0</v>
      </c>
      <c r="I552" s="530">
        <v>0</v>
      </c>
      <c r="J552" s="530">
        <v>0</v>
      </c>
      <c r="K552" s="530">
        <v>0</v>
      </c>
      <c r="L552" s="530">
        <v>0.50496799999999986</v>
      </c>
      <c r="M552" s="530">
        <v>0.40750917599999997</v>
      </c>
      <c r="N552" s="530">
        <v>2.7773240000000006</v>
      </c>
      <c r="O552" s="530">
        <v>2.8269791866666663</v>
      </c>
      <c r="P552" s="530">
        <v>1.74466444</v>
      </c>
      <c r="Q552" s="530">
        <v>1.7673879999999995</v>
      </c>
      <c r="R552" s="530">
        <v>1.4517829999999994</v>
      </c>
      <c r="S552" s="530">
        <v>3.2822919999999995</v>
      </c>
      <c r="T552" s="530">
        <v>14.762907802666666</v>
      </c>
      <c r="U552" s="530" t="s">
        <v>61</v>
      </c>
    </row>
    <row r="553" spans="1:21" ht="13.8" x14ac:dyDescent="0.3">
      <c r="A553" s="530" t="str">
        <f t="shared" si="16"/>
        <v>Conwy.2021.Vehicle Numbers.Day Visitor</v>
      </c>
      <c r="B553" s="530" t="s">
        <v>219</v>
      </c>
      <c r="C553" s="530" t="str">
        <f t="shared" si="17"/>
        <v>2021.Vehicle Numbers.Day Visitor</v>
      </c>
      <c r="D553" s="530" t="s">
        <v>241</v>
      </c>
      <c r="E553" s="530" t="s">
        <v>22</v>
      </c>
      <c r="F553" s="530" t="s">
        <v>71</v>
      </c>
      <c r="G553" s="530" t="s">
        <v>71</v>
      </c>
      <c r="H553" s="530">
        <v>0</v>
      </c>
      <c r="I553" s="530">
        <v>0</v>
      </c>
      <c r="J553" s="530">
        <v>19.9899342387431</v>
      </c>
      <c r="K553" s="530">
        <v>155.41752750763169</v>
      </c>
      <c r="L553" s="530">
        <v>143.48753323773948</v>
      </c>
      <c r="M553" s="530">
        <v>185.53883932383897</v>
      </c>
      <c r="N553" s="530">
        <v>255.15540029548347</v>
      </c>
      <c r="O553" s="530">
        <v>345.98163375527901</v>
      </c>
      <c r="P553" s="530">
        <v>175.49730693120645</v>
      </c>
      <c r="Q553" s="530">
        <v>97.818117999076676</v>
      </c>
      <c r="R553" s="530">
        <v>32.442381960370845</v>
      </c>
      <c r="S553" s="530">
        <v>8.5295517055799639</v>
      </c>
      <c r="T553" s="530">
        <v>1419.8582269549495</v>
      </c>
      <c r="U553" s="530" t="s">
        <v>61</v>
      </c>
    </row>
    <row r="554" spans="1:21" ht="13.8" x14ac:dyDescent="0.3">
      <c r="A554" s="530" t="str">
        <f t="shared" si="16"/>
        <v>Conwy.2021.Vehicle Numbers.Total</v>
      </c>
      <c r="B554" s="530" t="s">
        <v>219</v>
      </c>
      <c r="C554" s="530" t="str">
        <f t="shared" si="17"/>
        <v>2021.Vehicle Numbers.Total</v>
      </c>
      <c r="D554" s="530" t="s">
        <v>241</v>
      </c>
      <c r="E554" s="530" t="s">
        <v>22</v>
      </c>
      <c r="F554" s="530" t="s">
        <v>54</v>
      </c>
      <c r="G554" s="530" t="s">
        <v>54</v>
      </c>
      <c r="H554" s="530">
        <v>0</v>
      </c>
      <c r="I554" s="530">
        <v>0</v>
      </c>
      <c r="J554" s="530">
        <v>24.835641525532328</v>
      </c>
      <c r="K554" s="530">
        <v>174.50667394551087</v>
      </c>
      <c r="L554" s="530">
        <v>171.87036087616983</v>
      </c>
      <c r="M554" s="530">
        <v>234.83650930959311</v>
      </c>
      <c r="N554" s="530">
        <v>320.336371695558</v>
      </c>
      <c r="O554" s="530">
        <v>421.70279946162555</v>
      </c>
      <c r="P554" s="530">
        <v>239.02227478822223</v>
      </c>
      <c r="Q554" s="530">
        <v>160.91693475099268</v>
      </c>
      <c r="R554" s="530">
        <v>70.81446946615192</v>
      </c>
      <c r="S554" s="530">
        <v>31.855446162604139</v>
      </c>
      <c r="T554" s="530">
        <v>1850.6974819819604</v>
      </c>
      <c r="U554" s="530" t="s">
        <v>61</v>
      </c>
    </row>
    <row r="555" spans="1:21" ht="13.8" x14ac:dyDescent="0.3">
      <c r="A555" s="530" t="str">
        <f t="shared" si="16"/>
        <v>Conwy.2021.Accommodation.Serviced Accommodation</v>
      </c>
      <c r="B555" s="530" t="s">
        <v>219</v>
      </c>
      <c r="C555" s="530" t="str">
        <f t="shared" si="17"/>
        <v>2021.Accommodation.Serviced Accommodation</v>
      </c>
      <c r="D555" s="530" t="s">
        <v>241</v>
      </c>
      <c r="E555" s="530" t="s">
        <v>23</v>
      </c>
      <c r="F555" s="530" t="s">
        <v>43</v>
      </c>
      <c r="G555" s="530" t="s">
        <v>43</v>
      </c>
      <c r="H555" s="530">
        <v>0</v>
      </c>
      <c r="I555" s="530">
        <v>0</v>
      </c>
      <c r="J555" s="530">
        <v>0</v>
      </c>
      <c r="K555" s="530">
        <v>0</v>
      </c>
      <c r="L555" s="530">
        <v>4460.6399999999994</v>
      </c>
      <c r="M555" s="530">
        <v>9293</v>
      </c>
      <c r="N555" s="530">
        <v>9293</v>
      </c>
      <c r="O555" s="530">
        <v>9293</v>
      </c>
      <c r="P555" s="530">
        <v>9293</v>
      </c>
      <c r="Q555" s="530">
        <v>9236</v>
      </c>
      <c r="R555" s="530">
        <v>8953</v>
      </c>
      <c r="S555" s="530">
        <v>8382</v>
      </c>
      <c r="T555" s="530">
        <v>9293</v>
      </c>
      <c r="U555" s="530" t="s">
        <v>58</v>
      </c>
    </row>
    <row r="556" spans="1:21" ht="13.8" x14ac:dyDescent="0.3">
      <c r="A556" s="530" t="str">
        <f t="shared" si="16"/>
        <v>Conwy.2021.Accommodation.Non-Serviced Accommodation</v>
      </c>
      <c r="B556" s="530" t="s">
        <v>219</v>
      </c>
      <c r="C556" s="530" t="str">
        <f t="shared" si="17"/>
        <v>2021.Accommodation.Non-Serviced Accommodation</v>
      </c>
      <c r="D556" s="530" t="s">
        <v>241</v>
      </c>
      <c r="E556" s="530" t="s">
        <v>23</v>
      </c>
      <c r="F556" s="530" t="s">
        <v>48</v>
      </c>
      <c r="G556" s="530" t="s">
        <v>48</v>
      </c>
      <c r="H556" s="530">
        <v>0</v>
      </c>
      <c r="I556" s="530">
        <v>0</v>
      </c>
      <c r="J556" s="530">
        <v>6755.6204276630551</v>
      </c>
      <c r="K556" s="530">
        <v>49370.97522563961</v>
      </c>
      <c r="L556" s="530">
        <v>49507.226341877045</v>
      </c>
      <c r="M556" s="530">
        <v>49821.003541161655</v>
      </c>
      <c r="N556" s="530">
        <v>49747.116213890666</v>
      </c>
      <c r="O556" s="530">
        <v>49609.834934050472</v>
      </c>
      <c r="P556" s="530">
        <v>49595.641234496688</v>
      </c>
      <c r="Q556" s="530">
        <v>49995.73197824051</v>
      </c>
      <c r="R556" s="530">
        <v>30338.514396668128</v>
      </c>
      <c r="S556" s="530">
        <v>10491.216125934459</v>
      </c>
      <c r="T556" s="530">
        <v>49995.73197824051</v>
      </c>
      <c r="U556" s="530" t="s">
        <v>58</v>
      </c>
    </row>
    <row r="557" spans="1:21" ht="13.8" x14ac:dyDescent="0.3">
      <c r="A557" s="530" t="str">
        <f t="shared" si="16"/>
        <v>Conwy.2021.Accommodation.Total</v>
      </c>
      <c r="B557" s="530" t="s">
        <v>219</v>
      </c>
      <c r="C557" s="530" t="str">
        <f t="shared" si="17"/>
        <v>2021.Accommodation.Total</v>
      </c>
      <c r="D557" s="530" t="s">
        <v>241</v>
      </c>
      <c r="E557" s="530" t="s">
        <v>23</v>
      </c>
      <c r="F557" s="530" t="s">
        <v>54</v>
      </c>
      <c r="G557" s="530" t="s">
        <v>54</v>
      </c>
      <c r="H557" s="530">
        <v>0</v>
      </c>
      <c r="I557" s="530">
        <v>0</v>
      </c>
      <c r="J557" s="530">
        <v>6755.6204276630551</v>
      </c>
      <c r="K557" s="530">
        <v>49370.97522563961</v>
      </c>
      <c r="L557" s="530">
        <v>53967.866341877045</v>
      </c>
      <c r="M557" s="530">
        <v>59114.003541161655</v>
      </c>
      <c r="N557" s="530">
        <v>59040.116213890666</v>
      </c>
      <c r="O557" s="530">
        <v>58902.834934050472</v>
      </c>
      <c r="P557" s="530">
        <v>58888.641234496688</v>
      </c>
      <c r="Q557" s="530">
        <v>59231.73197824051</v>
      </c>
      <c r="R557" s="530">
        <v>39291.514396668128</v>
      </c>
      <c r="S557" s="530">
        <v>18873.216125934458</v>
      </c>
      <c r="T557" s="530">
        <v>59231.73197824051</v>
      </c>
      <c r="U557" s="530" t="s">
        <v>58</v>
      </c>
    </row>
    <row r="558" spans="1:21" ht="13.8" x14ac:dyDescent="0.3">
      <c r="A558" s="530" t="str">
        <f t="shared" si="16"/>
        <v>Conwy.2021.Economic Impact.Total</v>
      </c>
      <c r="B558" s="530" t="s">
        <v>219</v>
      </c>
      <c r="C558" s="530" t="str">
        <f t="shared" si="17"/>
        <v>2021.Economic Impact.Total</v>
      </c>
      <c r="D558" s="530" t="s">
        <v>241</v>
      </c>
      <c r="E558" s="530" t="s">
        <v>17</v>
      </c>
      <c r="F558" s="530" t="s">
        <v>54</v>
      </c>
      <c r="G558" s="530" t="s">
        <v>54</v>
      </c>
      <c r="H558" s="530">
        <v>0</v>
      </c>
      <c r="I558" s="530">
        <v>0</v>
      </c>
      <c r="J558" s="530">
        <v>8591.6399987428995</v>
      </c>
      <c r="K558" s="530">
        <v>28760.09114703623</v>
      </c>
      <c r="L558" s="530">
        <v>33812.27342471826</v>
      </c>
      <c r="M558" s="530">
        <v>88894.070633838506</v>
      </c>
      <c r="N558" s="530">
        <v>141989.80479544232</v>
      </c>
      <c r="O558" s="530">
        <v>175824.2320825202</v>
      </c>
      <c r="P558" s="530">
        <v>118865.28864815111</v>
      </c>
      <c r="Q558" s="530">
        <v>85473.404147030378</v>
      </c>
      <c r="R558" s="530">
        <v>34647.370827661915</v>
      </c>
      <c r="S558" s="530">
        <v>22668.278992581596</v>
      </c>
      <c r="T558" s="530">
        <v>739526.45469772362</v>
      </c>
      <c r="U558" s="530" t="s">
        <v>57</v>
      </c>
    </row>
    <row r="559" spans="1:21" ht="13.8" x14ac:dyDescent="0.3">
      <c r="A559" s="530" t="str">
        <f t="shared" si="16"/>
        <v>Conwy.2022.Economic Impact.Indirect Expenditure</v>
      </c>
      <c r="B559" s="530" t="s">
        <v>219</v>
      </c>
      <c r="C559" s="530" t="str">
        <f t="shared" si="17"/>
        <v>2022.Economic Impact.Indirect Expenditure</v>
      </c>
      <c r="D559" s="530" t="s">
        <v>242</v>
      </c>
      <c r="E559" s="530" t="s">
        <v>17</v>
      </c>
      <c r="F559" s="530" t="s">
        <v>45</v>
      </c>
      <c r="G559" s="530" t="s">
        <v>45</v>
      </c>
      <c r="H559" s="530">
        <v>5526.5117542001717</v>
      </c>
      <c r="I559" s="530">
        <v>8889.4225571703682</v>
      </c>
      <c r="J559" s="530">
        <v>16737.339277785235</v>
      </c>
      <c r="K559" s="530">
        <v>28688.350520407796</v>
      </c>
      <c r="L559" s="530">
        <v>30003.154833264605</v>
      </c>
      <c r="M559" s="530">
        <v>31258.252885597671</v>
      </c>
      <c r="N559" s="530">
        <v>42326.277094954603</v>
      </c>
      <c r="O559" s="530">
        <v>45301.929042757089</v>
      </c>
      <c r="P559" s="530">
        <v>29374.905518630723</v>
      </c>
      <c r="Q559" s="530">
        <v>20830.803710139502</v>
      </c>
      <c r="R559" s="530">
        <v>10551.242022366014</v>
      </c>
      <c r="S559" s="530">
        <v>6340.3125953215495</v>
      </c>
      <c r="T559" s="530">
        <v>275828.50181259535</v>
      </c>
      <c r="U559" s="530" t="s">
        <v>57</v>
      </c>
    </row>
    <row r="560" spans="1:21" ht="13.8" x14ac:dyDescent="0.3">
      <c r="A560" s="530" t="str">
        <f t="shared" si="16"/>
        <v>Conwy.2022.Economic Impact.Direct Revenue</v>
      </c>
      <c r="B560" s="530" t="s">
        <v>219</v>
      </c>
      <c r="C560" s="530" t="str">
        <f t="shared" si="17"/>
        <v>2022.Economic Impact.Direct Revenue</v>
      </c>
      <c r="D560" s="530" t="s">
        <v>242</v>
      </c>
      <c r="E560" s="530" t="s">
        <v>17</v>
      </c>
      <c r="F560" s="530" t="s">
        <v>46</v>
      </c>
      <c r="G560" s="530" t="s">
        <v>46</v>
      </c>
      <c r="H560" s="530">
        <v>14315.267176434896</v>
      </c>
      <c r="I560" s="530">
        <v>22690.830319252364</v>
      </c>
      <c r="J560" s="530">
        <v>42931.600240362255</v>
      </c>
      <c r="K560" s="530">
        <v>70555.424741499388</v>
      </c>
      <c r="L560" s="530">
        <v>75299.718986692562</v>
      </c>
      <c r="M560" s="530">
        <v>77434.15853661974</v>
      </c>
      <c r="N560" s="530">
        <v>104835.13177532436</v>
      </c>
      <c r="O560" s="530">
        <v>111751.75067074482</v>
      </c>
      <c r="P560" s="530">
        <v>72916.401921412646</v>
      </c>
      <c r="Q560" s="530">
        <v>51401.622569185056</v>
      </c>
      <c r="R560" s="530">
        <v>27239.23719717763</v>
      </c>
      <c r="S560" s="530">
        <v>16175.191646451078</v>
      </c>
      <c r="T560" s="530">
        <v>687546.33578115678</v>
      </c>
      <c r="U560" s="530" t="s">
        <v>57</v>
      </c>
    </row>
    <row r="561" spans="1:21" ht="13.8" x14ac:dyDescent="0.3">
      <c r="A561" s="530" t="str">
        <f t="shared" si="16"/>
        <v>Conwy.2022.Economic Impact.VAT</v>
      </c>
      <c r="B561" s="530" t="s">
        <v>219</v>
      </c>
      <c r="C561" s="530" t="str">
        <f t="shared" si="17"/>
        <v>2022.Economic Impact.VAT</v>
      </c>
      <c r="D561" s="530" t="s">
        <v>242</v>
      </c>
      <c r="E561" s="530" t="s">
        <v>17</v>
      </c>
      <c r="F561" s="530" t="s">
        <v>47</v>
      </c>
      <c r="G561" s="530" t="s">
        <v>47</v>
      </c>
      <c r="H561" s="530">
        <v>2229.0645828207016</v>
      </c>
      <c r="I561" s="530">
        <v>3673.2403866715877</v>
      </c>
      <c r="J561" s="530">
        <v>6955.6714790861897</v>
      </c>
      <c r="K561" s="530">
        <v>14111.084948299878</v>
      </c>
      <c r="L561" s="530">
        <v>15059.943797338512</v>
      </c>
      <c r="M561" s="530">
        <v>15486.831707323947</v>
      </c>
      <c r="N561" s="530">
        <v>20967.026355064874</v>
      </c>
      <c r="O561" s="530">
        <v>22350.350134148965</v>
      </c>
      <c r="P561" s="530">
        <v>14583.280384282531</v>
      </c>
      <c r="Q561" s="530">
        <v>10280.324513837011</v>
      </c>
      <c r="R561" s="530">
        <v>5447.8474394355262</v>
      </c>
      <c r="S561" s="530">
        <v>3235.0383292902161</v>
      </c>
      <c r="T561" s="530">
        <v>134379.70405759994</v>
      </c>
      <c r="U561" s="530" t="s">
        <v>57</v>
      </c>
    </row>
    <row r="562" spans="1:21" ht="13.8" x14ac:dyDescent="0.3">
      <c r="A562" s="530" t="str">
        <f t="shared" si="16"/>
        <v>Conwy.2022.Economic Impact.Serviced Accommodation</v>
      </c>
      <c r="B562" s="530" t="s">
        <v>219</v>
      </c>
      <c r="C562" s="530" t="str">
        <f t="shared" si="17"/>
        <v>2022.Economic Impact.Serviced Accommodation</v>
      </c>
      <c r="D562" s="530" t="s">
        <v>242</v>
      </c>
      <c r="E562" s="530" t="s">
        <v>17</v>
      </c>
      <c r="F562" s="530" t="s">
        <v>43</v>
      </c>
      <c r="G562" s="530" t="s">
        <v>43</v>
      </c>
      <c r="H562" s="530">
        <v>8726.5353086108134</v>
      </c>
      <c r="I562" s="530">
        <v>11387.638305578246</v>
      </c>
      <c r="J562" s="530">
        <v>13084.401021917214</v>
      </c>
      <c r="K562" s="530">
        <v>15630.478592731588</v>
      </c>
      <c r="L562" s="530">
        <v>26929.487224554596</v>
      </c>
      <c r="M562" s="530">
        <v>21313.955310836369</v>
      </c>
      <c r="N562" s="530">
        <v>28217.009027605251</v>
      </c>
      <c r="O562" s="530">
        <v>28609.50027024766</v>
      </c>
      <c r="P562" s="530">
        <v>23343.047357497155</v>
      </c>
      <c r="Q562" s="530">
        <v>13767.001867473706</v>
      </c>
      <c r="R562" s="530">
        <v>17659.852449325546</v>
      </c>
      <c r="S562" s="530">
        <v>12577.28689557721</v>
      </c>
      <c r="T562" s="530">
        <v>221246.19363195536</v>
      </c>
      <c r="U562" s="530" t="s">
        <v>57</v>
      </c>
    </row>
    <row r="563" spans="1:21" ht="13.8" x14ac:dyDescent="0.3">
      <c r="A563" s="530" t="str">
        <f t="shared" si="16"/>
        <v>Conwy.2022.Economic Impact.Non-Serviced Accommodation</v>
      </c>
      <c r="B563" s="530" t="s">
        <v>219</v>
      </c>
      <c r="C563" s="530" t="str">
        <f t="shared" si="17"/>
        <v>2022.Economic Impact.Non-Serviced Accommodation</v>
      </c>
      <c r="D563" s="530" t="s">
        <v>242</v>
      </c>
      <c r="E563" s="530" t="s">
        <v>17</v>
      </c>
      <c r="F563" s="530" t="s">
        <v>48</v>
      </c>
      <c r="G563" s="530" t="s">
        <v>48</v>
      </c>
      <c r="H563" s="530">
        <v>7050.9952067457089</v>
      </c>
      <c r="I563" s="530">
        <v>8912.4663916397476</v>
      </c>
      <c r="J563" s="530">
        <v>37524.413398215504</v>
      </c>
      <c r="K563" s="530">
        <v>51453.758257636822</v>
      </c>
      <c r="L563" s="530">
        <v>51707.231156702197</v>
      </c>
      <c r="M563" s="530">
        <v>56575.984278693781</v>
      </c>
      <c r="N563" s="530">
        <v>72719.512809342748</v>
      </c>
      <c r="O563" s="530">
        <v>68636.910390776524</v>
      </c>
      <c r="P563" s="530">
        <v>53449.093523132367</v>
      </c>
      <c r="Q563" s="530">
        <v>46764.990893679918</v>
      </c>
      <c r="R563" s="530">
        <v>18421.603635388681</v>
      </c>
      <c r="S563" s="530">
        <v>9063.9489310736935</v>
      </c>
      <c r="T563" s="530">
        <v>482280.90887302771</v>
      </c>
      <c r="U563" s="530" t="s">
        <v>57</v>
      </c>
    </row>
    <row r="564" spans="1:21" ht="13.8" x14ac:dyDescent="0.3">
      <c r="A564" s="530" t="str">
        <f t="shared" si="16"/>
        <v>Conwy.2022.Economic Impact.SFR</v>
      </c>
      <c r="B564" s="530" t="s">
        <v>219</v>
      </c>
      <c r="C564" s="530" t="str">
        <f t="shared" si="17"/>
        <v>2022.Economic Impact.SFR</v>
      </c>
      <c r="D564" s="530" t="s">
        <v>242</v>
      </c>
      <c r="E564" s="530" t="s">
        <v>17</v>
      </c>
      <c r="F564" s="530" t="s">
        <v>18</v>
      </c>
      <c r="G564" s="530" t="s">
        <v>18</v>
      </c>
      <c r="H564" s="530">
        <v>2310.0564997673737</v>
      </c>
      <c r="I564" s="530">
        <v>776.1789839218377</v>
      </c>
      <c r="J564" s="530">
        <v>882.95492879997403</v>
      </c>
      <c r="K564" s="530">
        <v>2106.7715277878451</v>
      </c>
      <c r="L564" s="530">
        <v>1355.2331465301932</v>
      </c>
      <c r="M564" s="530">
        <v>1043.960733374872</v>
      </c>
      <c r="N564" s="530">
        <v>1694.0414331627408</v>
      </c>
      <c r="O564" s="530">
        <v>1793.3019942283008</v>
      </c>
      <c r="P564" s="530">
        <v>923.69611192164916</v>
      </c>
      <c r="Q564" s="530">
        <v>922.79056977374046</v>
      </c>
      <c r="R564" s="530">
        <v>719.04358649425785</v>
      </c>
      <c r="S564" s="530">
        <v>2082.1309251236598</v>
      </c>
      <c r="T564" s="530">
        <v>16610.160440886444</v>
      </c>
      <c r="U564" s="530" t="s">
        <v>57</v>
      </c>
    </row>
    <row r="565" spans="1:21" ht="13.8" x14ac:dyDescent="0.3">
      <c r="A565" s="530" t="str">
        <f t="shared" si="16"/>
        <v>Conwy.2022.Economic Impact.Day Visitor</v>
      </c>
      <c r="B565" s="530" t="s">
        <v>219</v>
      </c>
      <c r="C565" s="530" t="str">
        <f t="shared" si="17"/>
        <v>2022.Economic Impact.Day Visitor</v>
      </c>
      <c r="D565" s="530" t="s">
        <v>242</v>
      </c>
      <c r="E565" s="530" t="s">
        <v>17</v>
      </c>
      <c r="F565" s="530" t="s">
        <v>71</v>
      </c>
      <c r="G565" s="530" t="s">
        <v>71</v>
      </c>
      <c r="H565" s="530">
        <v>3983.2564983318734</v>
      </c>
      <c r="I565" s="530">
        <v>14177.209581954488</v>
      </c>
      <c r="J565" s="530">
        <v>15132.841648300986</v>
      </c>
      <c r="K565" s="530">
        <v>44163.851832050801</v>
      </c>
      <c r="L565" s="530">
        <v>40370.866089508694</v>
      </c>
      <c r="M565" s="530">
        <v>45245.342806636312</v>
      </c>
      <c r="N565" s="530">
        <v>65497.871955233117</v>
      </c>
      <c r="O565" s="530">
        <v>80364.317192398375</v>
      </c>
      <c r="P565" s="530">
        <v>39158.75083177472</v>
      </c>
      <c r="Q565" s="530">
        <v>21057.967462234203</v>
      </c>
      <c r="R565" s="530">
        <v>6437.8269877706807</v>
      </c>
      <c r="S565" s="530">
        <v>2027.1758192882789</v>
      </c>
      <c r="T565" s="530">
        <v>377617.27870548255</v>
      </c>
      <c r="U565" s="530" t="s">
        <v>57</v>
      </c>
    </row>
    <row r="566" spans="1:21" ht="13.8" x14ac:dyDescent="0.3">
      <c r="A566" s="530" t="str">
        <f t="shared" si="16"/>
        <v>Conwy.2022.Economic Impact.Accommodation</v>
      </c>
      <c r="B566" s="530" t="s">
        <v>219</v>
      </c>
      <c r="C566" s="530" t="str">
        <f t="shared" si="17"/>
        <v>2022.Economic Impact.Accommodation</v>
      </c>
      <c r="D566" s="530" t="s">
        <v>242</v>
      </c>
      <c r="E566" s="530" t="s">
        <v>17</v>
      </c>
      <c r="F566" s="530" t="s">
        <v>23</v>
      </c>
      <c r="G566" s="530" t="s">
        <v>23</v>
      </c>
      <c r="H566" s="530">
        <v>5708.8312098230535</v>
      </c>
      <c r="I566" s="530">
        <v>7249.7885327115155</v>
      </c>
      <c r="J566" s="530">
        <v>11446.842752824621</v>
      </c>
      <c r="K566" s="530">
        <v>13449.949650512206</v>
      </c>
      <c r="L566" s="530">
        <v>17556.690895329546</v>
      </c>
      <c r="M566" s="530">
        <v>15995.107508886575</v>
      </c>
      <c r="N566" s="530">
        <v>24340.138101796296</v>
      </c>
      <c r="O566" s="530">
        <v>24187.347613774818</v>
      </c>
      <c r="P566" s="530">
        <v>20584.258529217012</v>
      </c>
      <c r="Q566" s="530">
        <v>12140.06658365383</v>
      </c>
      <c r="R566" s="530">
        <v>10322.310140209764</v>
      </c>
      <c r="S566" s="530">
        <v>7895.4142370682048</v>
      </c>
      <c r="T566" s="530">
        <v>170876.74575580744</v>
      </c>
      <c r="U566" s="530" t="s">
        <v>57</v>
      </c>
    </row>
    <row r="567" spans="1:21" ht="13.8" x14ac:dyDescent="0.3">
      <c r="A567" s="530" t="str">
        <f t="shared" si="16"/>
        <v>Conwy.2022.Economic Impact.Food &amp; Drink</v>
      </c>
      <c r="B567" s="530" t="s">
        <v>219</v>
      </c>
      <c r="C567" s="530" t="str">
        <f t="shared" si="17"/>
        <v>2022.Economic Impact.Food &amp; Drink</v>
      </c>
      <c r="D567" s="530" t="s">
        <v>242</v>
      </c>
      <c r="E567" s="530" t="s">
        <v>17</v>
      </c>
      <c r="F567" s="530" t="s">
        <v>49</v>
      </c>
      <c r="G567" s="530" t="s">
        <v>49</v>
      </c>
      <c r="H567" s="530">
        <v>2781.8124413951523</v>
      </c>
      <c r="I567" s="530">
        <v>4323.6670810647711</v>
      </c>
      <c r="J567" s="530">
        <v>10218.986525974102</v>
      </c>
      <c r="K567" s="530">
        <v>16810.152408837359</v>
      </c>
      <c r="L567" s="530">
        <v>17497.829550910774</v>
      </c>
      <c r="M567" s="530">
        <v>18279.868287761252</v>
      </c>
      <c r="N567" s="530">
        <v>23759.723436700766</v>
      </c>
      <c r="O567" s="530">
        <v>25293.652321528552</v>
      </c>
      <c r="P567" s="530">
        <v>15806.113034992104</v>
      </c>
      <c r="Q567" s="530">
        <v>12465.570465021503</v>
      </c>
      <c r="R567" s="530">
        <v>5563.1833646405203</v>
      </c>
      <c r="S567" s="530">
        <v>2792.0158323900059</v>
      </c>
      <c r="T567" s="530">
        <v>155592.57475121683</v>
      </c>
      <c r="U567" s="530" t="s">
        <v>57</v>
      </c>
    </row>
    <row r="568" spans="1:21" ht="13.8" x14ac:dyDescent="0.3">
      <c r="A568" s="530" t="str">
        <f t="shared" si="16"/>
        <v>Conwy.2022.Economic Impact.Recreation</v>
      </c>
      <c r="B568" s="530" t="s">
        <v>219</v>
      </c>
      <c r="C568" s="530" t="str">
        <f t="shared" si="17"/>
        <v>2022.Economic Impact.Recreation</v>
      </c>
      <c r="D568" s="530" t="s">
        <v>242</v>
      </c>
      <c r="E568" s="530" t="s">
        <v>17</v>
      </c>
      <c r="F568" s="530" t="s">
        <v>50</v>
      </c>
      <c r="G568" s="530" t="s">
        <v>50</v>
      </c>
      <c r="H568" s="530">
        <v>877.32554490793268</v>
      </c>
      <c r="I568" s="530">
        <v>1386.4046918333829</v>
      </c>
      <c r="J568" s="530">
        <v>3507.8643633488391</v>
      </c>
      <c r="K568" s="530">
        <v>5572.4077017913405</v>
      </c>
      <c r="L568" s="530">
        <v>5497.4360842095321</v>
      </c>
      <c r="M568" s="530">
        <v>6018.5179652468278</v>
      </c>
      <c r="N568" s="530">
        <v>7388.4918533961754</v>
      </c>
      <c r="O568" s="530">
        <v>7440.7287165774178</v>
      </c>
      <c r="P568" s="530">
        <v>4869.6173298487611</v>
      </c>
      <c r="Q568" s="530">
        <v>4035.2601595932433</v>
      </c>
      <c r="R568" s="530">
        <v>1718.1135571356026</v>
      </c>
      <c r="S568" s="530">
        <v>918.74818582538808</v>
      </c>
      <c r="T568" s="530">
        <v>49230.916153714439</v>
      </c>
      <c r="U568" s="530" t="s">
        <v>57</v>
      </c>
    </row>
    <row r="569" spans="1:21" ht="13.8" x14ac:dyDescent="0.3">
      <c r="A569" s="530" t="str">
        <f t="shared" si="16"/>
        <v>Conwy.2022.Economic Impact.Shopping</v>
      </c>
      <c r="B569" s="530" t="s">
        <v>219</v>
      </c>
      <c r="C569" s="530" t="str">
        <f t="shared" si="17"/>
        <v>2022.Economic Impact.Shopping</v>
      </c>
      <c r="D569" s="530" t="s">
        <v>242</v>
      </c>
      <c r="E569" s="530" t="s">
        <v>17</v>
      </c>
      <c r="F569" s="530" t="s">
        <v>51</v>
      </c>
      <c r="G569" s="530" t="s">
        <v>51</v>
      </c>
      <c r="H569" s="530">
        <v>3772.4972742809937</v>
      </c>
      <c r="I569" s="530">
        <v>7664.4430196334861</v>
      </c>
      <c r="J569" s="530">
        <v>13226.220173650008</v>
      </c>
      <c r="K569" s="530">
        <v>26615.700877443713</v>
      </c>
      <c r="L569" s="530">
        <v>26529.34476174392</v>
      </c>
      <c r="M569" s="530">
        <v>28355.40535593942</v>
      </c>
      <c r="N569" s="530">
        <v>37999.982990092518</v>
      </c>
      <c r="O569" s="530">
        <v>42749.03473873264</v>
      </c>
      <c r="P569" s="530">
        <v>24265.848789709904</v>
      </c>
      <c r="Q569" s="530">
        <v>17059.922683183773</v>
      </c>
      <c r="R569" s="530">
        <v>7148.80220156011</v>
      </c>
      <c r="S569" s="530">
        <v>3358.4326107511556</v>
      </c>
      <c r="T569" s="530">
        <v>238745.63547672168</v>
      </c>
      <c r="U569" s="530" t="s">
        <v>57</v>
      </c>
    </row>
    <row r="570" spans="1:21" ht="13.8" x14ac:dyDescent="0.3">
      <c r="A570" s="530" t="str">
        <f t="shared" si="16"/>
        <v>Conwy.2022.Economic Impact.Transport</v>
      </c>
      <c r="B570" s="530" t="s">
        <v>219</v>
      </c>
      <c r="C570" s="530" t="str">
        <f t="shared" si="17"/>
        <v>2022.Economic Impact.Transport</v>
      </c>
      <c r="D570" s="530" t="s">
        <v>242</v>
      </c>
      <c r="E570" s="530" t="s">
        <v>17</v>
      </c>
      <c r="F570" s="530" t="s">
        <v>52</v>
      </c>
      <c r="G570" s="530" t="s">
        <v>52</v>
      </c>
      <c r="H570" s="530">
        <v>1174.8007060277628</v>
      </c>
      <c r="I570" s="530">
        <v>2066.526994009208</v>
      </c>
      <c r="J570" s="530">
        <v>4531.6864245646884</v>
      </c>
      <c r="K570" s="530">
        <v>8107.2141029147724</v>
      </c>
      <c r="L570" s="530">
        <v>8218.4176944987848</v>
      </c>
      <c r="M570" s="530">
        <v>8785.2594187856539</v>
      </c>
      <c r="N570" s="530">
        <v>11346.79539333862</v>
      </c>
      <c r="O570" s="530">
        <v>12080.987280131392</v>
      </c>
      <c r="P570" s="530">
        <v>7390.5642376448659</v>
      </c>
      <c r="Q570" s="530">
        <v>5700.8026777327041</v>
      </c>
      <c r="R570" s="530">
        <v>2486.827933631635</v>
      </c>
      <c r="S570" s="530">
        <v>1210.5807804163237</v>
      </c>
      <c r="T570" s="530">
        <v>73100.463643696407</v>
      </c>
      <c r="U570" s="530" t="s">
        <v>57</v>
      </c>
    </row>
    <row r="571" spans="1:21" ht="13.8" x14ac:dyDescent="0.3">
      <c r="A571" s="530" t="str">
        <f t="shared" si="16"/>
        <v>Conwy.2022.Economic Impact.Direct Expenditure</v>
      </c>
      <c r="B571" s="530" t="s">
        <v>219</v>
      </c>
      <c r="C571" s="530" t="str">
        <f t="shared" si="17"/>
        <v>2022.Economic Impact.Direct Expenditure</v>
      </c>
      <c r="D571" s="530" t="s">
        <v>242</v>
      </c>
      <c r="E571" s="530" t="s">
        <v>17</v>
      </c>
      <c r="F571" s="530" t="s">
        <v>44</v>
      </c>
      <c r="G571" s="530" t="s">
        <v>44</v>
      </c>
      <c r="H571" s="530">
        <v>16544.331759255598</v>
      </c>
      <c r="I571" s="530">
        <v>26364.070705923954</v>
      </c>
      <c r="J571" s="530">
        <v>49887.27171944845</v>
      </c>
      <c r="K571" s="530">
        <v>84666.509689799263</v>
      </c>
      <c r="L571" s="530">
        <v>90359.662784031068</v>
      </c>
      <c r="M571" s="530">
        <v>92920.99024394367</v>
      </c>
      <c r="N571" s="530">
        <v>125802.15813038926</v>
      </c>
      <c r="O571" s="530">
        <v>134102.10080489377</v>
      </c>
      <c r="P571" s="530">
        <v>87499.682305695169</v>
      </c>
      <c r="Q571" s="530">
        <v>61681.947083022067</v>
      </c>
      <c r="R571" s="530">
        <v>32687.084636613155</v>
      </c>
      <c r="S571" s="530">
        <v>19410.229975741295</v>
      </c>
      <c r="T571" s="530">
        <v>821926.03983875667</v>
      </c>
      <c r="U571" s="530" t="s">
        <v>57</v>
      </c>
    </row>
    <row r="572" spans="1:21" ht="13.8" x14ac:dyDescent="0.3">
      <c r="A572" s="530" t="str">
        <f t="shared" si="16"/>
        <v>Conwy.2022.Population.Total</v>
      </c>
      <c r="B572" s="530" t="s">
        <v>219</v>
      </c>
      <c r="C572" s="530" t="str">
        <f t="shared" si="17"/>
        <v>2022.Population.Total</v>
      </c>
      <c r="D572" s="530" t="s">
        <v>242</v>
      </c>
      <c r="E572" s="530" t="s">
        <v>19</v>
      </c>
      <c r="F572" s="530" t="s">
        <v>54</v>
      </c>
      <c r="G572" s="530" t="s">
        <v>54</v>
      </c>
      <c r="H572" s="530">
        <v>114828</v>
      </c>
      <c r="I572" s="530">
        <v>114828</v>
      </c>
      <c r="J572" s="530">
        <v>114828</v>
      </c>
      <c r="K572" s="530">
        <v>114828</v>
      </c>
      <c r="L572" s="530">
        <v>114828</v>
      </c>
      <c r="M572" s="530">
        <v>114828</v>
      </c>
      <c r="N572" s="530">
        <v>114828</v>
      </c>
      <c r="O572" s="530">
        <v>114828</v>
      </c>
      <c r="P572" s="530">
        <v>114828</v>
      </c>
      <c r="Q572" s="530">
        <v>114828</v>
      </c>
      <c r="R572" s="530">
        <v>114828</v>
      </c>
      <c r="S572" s="530">
        <v>114828</v>
      </c>
      <c r="T572" s="530">
        <v>114828</v>
      </c>
      <c r="U572" s="530" t="s">
        <v>60</v>
      </c>
    </row>
    <row r="573" spans="1:21" ht="13.8" x14ac:dyDescent="0.3">
      <c r="A573" s="530" t="str">
        <f t="shared" si="16"/>
        <v>Conwy.2022.Employment.Serviced Accommodation</v>
      </c>
      <c r="B573" s="530" t="s">
        <v>219</v>
      </c>
      <c r="C573" s="530" t="str">
        <f t="shared" si="17"/>
        <v>2022.Employment.Serviced Accommodation</v>
      </c>
      <c r="D573" s="530" t="s">
        <v>242</v>
      </c>
      <c r="E573" s="530" t="s">
        <v>20</v>
      </c>
      <c r="F573" s="530" t="s">
        <v>43</v>
      </c>
      <c r="G573" s="530" t="s">
        <v>43</v>
      </c>
      <c r="H573" s="530">
        <v>1843.3920607901405</v>
      </c>
      <c r="I573" s="530">
        <v>2067.6452485735817</v>
      </c>
      <c r="J573" s="530">
        <v>2261.712411587413</v>
      </c>
      <c r="K573" s="530">
        <v>2400.7890540291414</v>
      </c>
      <c r="L573" s="530">
        <v>3023.3534584218487</v>
      </c>
      <c r="M573" s="530">
        <v>2654.7800136719793</v>
      </c>
      <c r="N573" s="530">
        <v>2883.3604441206535</v>
      </c>
      <c r="O573" s="530">
        <v>2706.2976831747646</v>
      </c>
      <c r="P573" s="530">
        <v>2524.2937668742661</v>
      </c>
      <c r="Q573" s="530">
        <v>2314.8542672143258</v>
      </c>
      <c r="R573" s="530">
        <v>2407.6486041486824</v>
      </c>
      <c r="S573" s="530">
        <v>2100.320925885012</v>
      </c>
      <c r="T573" s="530">
        <v>2432.3706615409842</v>
      </c>
      <c r="U573" s="530" t="s">
        <v>59</v>
      </c>
    </row>
    <row r="574" spans="1:21" ht="13.8" x14ac:dyDescent="0.3">
      <c r="A574" s="530" t="str">
        <f t="shared" si="16"/>
        <v>Conwy.2022.Employment.Non-Serviced Accommodation</v>
      </c>
      <c r="B574" s="530" t="s">
        <v>219</v>
      </c>
      <c r="C574" s="530" t="str">
        <f t="shared" si="17"/>
        <v>2022.Employment.Non-Serviced Accommodation</v>
      </c>
      <c r="D574" s="530" t="s">
        <v>242</v>
      </c>
      <c r="E574" s="530" t="s">
        <v>20</v>
      </c>
      <c r="F574" s="530" t="s">
        <v>48</v>
      </c>
      <c r="G574" s="530" t="s">
        <v>48</v>
      </c>
      <c r="H574" s="530">
        <v>1508.6608689872921</v>
      </c>
      <c r="I574" s="530">
        <v>1629.0530581227717</v>
      </c>
      <c r="J574" s="530">
        <v>4142.8873481769242</v>
      </c>
      <c r="K574" s="530">
        <v>5140.0295659593685</v>
      </c>
      <c r="L574" s="530">
        <v>5221.9940680089248</v>
      </c>
      <c r="M574" s="530">
        <v>5559.9525843000883</v>
      </c>
      <c r="N574" s="530">
        <v>6429.9750642653662</v>
      </c>
      <c r="O574" s="530">
        <v>6137.8835359732666</v>
      </c>
      <c r="P574" s="530">
        <v>4903.1291048107114</v>
      </c>
      <c r="Q574" s="530">
        <v>4792.1974955524856</v>
      </c>
      <c r="R574" s="530">
        <v>2456.8925196647237</v>
      </c>
      <c r="S574" s="530">
        <v>1540.8574200088622</v>
      </c>
      <c r="T574" s="530">
        <v>4121.9593861525655</v>
      </c>
      <c r="U574" s="530" t="s">
        <v>59</v>
      </c>
    </row>
    <row r="575" spans="1:21" ht="13.8" x14ac:dyDescent="0.3">
      <c r="A575" s="530" t="str">
        <f t="shared" si="16"/>
        <v>Conwy.2022.Employment.SFR</v>
      </c>
      <c r="B575" s="530" t="s">
        <v>219</v>
      </c>
      <c r="C575" s="530" t="str">
        <f t="shared" si="17"/>
        <v>2022.Employment.SFR</v>
      </c>
      <c r="D575" s="530" t="s">
        <v>242</v>
      </c>
      <c r="E575" s="530" t="s">
        <v>20</v>
      </c>
      <c r="F575" s="530" t="s">
        <v>18</v>
      </c>
      <c r="G575" s="530" t="s">
        <v>18</v>
      </c>
      <c r="H575" s="530">
        <v>230.45508047318214</v>
      </c>
      <c r="I575" s="530">
        <v>77.432907038989214</v>
      </c>
      <c r="J575" s="530">
        <v>88.085052980860738</v>
      </c>
      <c r="K575" s="530">
        <v>204.55849028366939</v>
      </c>
      <c r="L575" s="530">
        <v>131.5873329310154</v>
      </c>
      <c r="M575" s="530">
        <v>101.36411505372357</v>
      </c>
      <c r="N575" s="530">
        <v>164.48416616376926</v>
      </c>
      <c r="O575" s="530">
        <v>174.12194142723183</v>
      </c>
      <c r="P575" s="530">
        <v>89.686935504577121</v>
      </c>
      <c r="Q575" s="530">
        <v>89.599011241209567</v>
      </c>
      <c r="R575" s="530">
        <v>69.81605198351258</v>
      </c>
      <c r="S575" s="530">
        <v>202.16599332128729</v>
      </c>
      <c r="T575" s="530">
        <v>135.27975653358567</v>
      </c>
      <c r="U575" s="530" t="s">
        <v>59</v>
      </c>
    </row>
    <row r="576" spans="1:21" ht="13.8" x14ac:dyDescent="0.3">
      <c r="A576" s="530" t="str">
        <f t="shared" si="16"/>
        <v>Conwy.2022.Employment.Day Visitor</v>
      </c>
      <c r="B576" s="530" t="s">
        <v>219</v>
      </c>
      <c r="C576" s="530" t="str">
        <f t="shared" si="17"/>
        <v>2022.Employment.Day Visitor</v>
      </c>
      <c r="D576" s="530" t="s">
        <v>242</v>
      </c>
      <c r="E576" s="530" t="s">
        <v>20</v>
      </c>
      <c r="F576" s="530" t="s">
        <v>71</v>
      </c>
      <c r="G576" s="530" t="s">
        <v>71</v>
      </c>
      <c r="H576" s="530">
        <v>364.41431437026512</v>
      </c>
      <c r="I576" s="530">
        <v>1297.0237070234111</v>
      </c>
      <c r="J576" s="530">
        <v>1384.4511685473528</v>
      </c>
      <c r="K576" s="530">
        <v>3966.6045047105104</v>
      </c>
      <c r="L576" s="530">
        <v>3625.935072390942</v>
      </c>
      <c r="M576" s="530">
        <v>4063.7393059934316</v>
      </c>
      <c r="N576" s="530">
        <v>5882.7331215261793</v>
      </c>
      <c r="O576" s="530">
        <v>7217.9723771740828</v>
      </c>
      <c r="P576" s="530">
        <v>3517.0681678500969</v>
      </c>
      <c r="Q576" s="530">
        <v>1891.3347711017982</v>
      </c>
      <c r="R576" s="530">
        <v>578.21753472385637</v>
      </c>
      <c r="S576" s="530">
        <v>182.07208844029202</v>
      </c>
      <c r="T576" s="530">
        <v>2830.963844487685</v>
      </c>
      <c r="U576" s="530" t="s">
        <v>59</v>
      </c>
    </row>
    <row r="577" spans="1:21" ht="13.8" x14ac:dyDescent="0.3">
      <c r="A577" s="530" t="str">
        <f t="shared" si="16"/>
        <v>Conwy.2022.Employment.Direct Employment</v>
      </c>
      <c r="B577" s="530" t="s">
        <v>219</v>
      </c>
      <c r="C577" s="530" t="str">
        <f t="shared" si="17"/>
        <v>2022.Employment.Direct Employment</v>
      </c>
      <c r="D577" s="530" t="s">
        <v>242</v>
      </c>
      <c r="E577" s="530" t="s">
        <v>20</v>
      </c>
      <c r="F577" s="530" t="s">
        <v>55</v>
      </c>
      <c r="G577" s="530" t="s">
        <v>55</v>
      </c>
      <c r="H577" s="530">
        <v>3946.9223246208799</v>
      </c>
      <c r="I577" s="530">
        <v>5071.1549207587541</v>
      </c>
      <c r="J577" s="530">
        <v>7877.1359812925502</v>
      </c>
      <c r="K577" s="530">
        <v>11711.981614982689</v>
      </c>
      <c r="L577" s="530">
        <v>12002.869931752732</v>
      </c>
      <c r="M577" s="530">
        <v>12379.836019019223</v>
      </c>
      <c r="N577" s="530">
        <v>15360.552796075968</v>
      </c>
      <c r="O577" s="530">
        <v>16236.275537749345</v>
      </c>
      <c r="P577" s="530">
        <v>11034.177975039653</v>
      </c>
      <c r="Q577" s="530">
        <v>9087.9855451098192</v>
      </c>
      <c r="R577" s="530">
        <v>5512.5747105207747</v>
      </c>
      <c r="S577" s="530">
        <v>4025.4164276554538</v>
      </c>
      <c r="T577" s="530">
        <v>9520.5736487148206</v>
      </c>
      <c r="U577" s="530" t="s">
        <v>59</v>
      </c>
    </row>
    <row r="578" spans="1:21" ht="13.8" x14ac:dyDescent="0.3">
      <c r="A578" s="530" t="str">
        <f t="shared" si="16"/>
        <v>Conwy.2022.Employment.Indirect Employment</v>
      </c>
      <c r="B578" s="530" t="s">
        <v>219</v>
      </c>
      <c r="C578" s="530" t="str">
        <f t="shared" si="17"/>
        <v>2022.Employment.Indirect Employment</v>
      </c>
      <c r="D578" s="530" t="s">
        <v>242</v>
      </c>
      <c r="E578" s="530" t="s">
        <v>20</v>
      </c>
      <c r="F578" s="530" t="s">
        <v>53</v>
      </c>
      <c r="G578" s="530" t="s">
        <v>53</v>
      </c>
      <c r="H578" s="530">
        <v>584.29418062470961</v>
      </c>
      <c r="I578" s="530">
        <v>934.57272084127806</v>
      </c>
      <c r="J578" s="530">
        <v>1760.3134107517287</v>
      </c>
      <c r="K578" s="530">
        <v>2923.0869632070753</v>
      </c>
      <c r="L578" s="530">
        <v>3057.0537921241375</v>
      </c>
      <c r="M578" s="530">
        <v>3184.9370857875901</v>
      </c>
      <c r="N578" s="530">
        <v>4312.6700048279154</v>
      </c>
      <c r="O578" s="530">
        <v>4615.8623898162314</v>
      </c>
      <c r="P578" s="530">
        <v>2993.0407921454967</v>
      </c>
      <c r="Q578" s="530">
        <v>2122.4730475500623</v>
      </c>
      <c r="R578" s="530">
        <v>1075.0774248690523</v>
      </c>
      <c r="S578" s="530">
        <v>646.02128577793872</v>
      </c>
      <c r="T578" s="530">
        <v>2350.7835915269343</v>
      </c>
      <c r="U578" s="530" t="s">
        <v>59</v>
      </c>
    </row>
    <row r="579" spans="1:21" ht="13.8" x14ac:dyDescent="0.3">
      <c r="A579" s="530" t="str">
        <f t="shared" si="16"/>
        <v>Conwy.2022.Employment.Total</v>
      </c>
      <c r="B579" s="530" t="s">
        <v>219</v>
      </c>
      <c r="C579" s="530" t="str">
        <f t="shared" si="17"/>
        <v>2022.Employment.Total</v>
      </c>
      <c r="D579" s="530" t="s">
        <v>242</v>
      </c>
      <c r="E579" s="530" t="s">
        <v>20</v>
      </c>
      <c r="F579" s="530" t="s">
        <v>54</v>
      </c>
      <c r="G579" s="530" t="s">
        <v>54</v>
      </c>
      <c r="H579" s="530">
        <v>4531.2165052455894</v>
      </c>
      <c r="I579" s="530">
        <v>6005.7276416000323</v>
      </c>
      <c r="J579" s="530">
        <v>9637.4493920442783</v>
      </c>
      <c r="K579" s="530">
        <v>14635.068578189765</v>
      </c>
      <c r="L579" s="530">
        <v>15059.923723876869</v>
      </c>
      <c r="M579" s="530">
        <v>15564.773104806813</v>
      </c>
      <c r="N579" s="530">
        <v>19673.222800903884</v>
      </c>
      <c r="O579" s="530">
        <v>20852.137927565578</v>
      </c>
      <c r="P579" s="530">
        <v>14027.21876718515</v>
      </c>
      <c r="Q579" s="530">
        <v>11210.458592659881</v>
      </c>
      <c r="R579" s="530">
        <v>6587.652135389827</v>
      </c>
      <c r="S579" s="530">
        <v>4671.4377134333927</v>
      </c>
      <c r="T579" s="530">
        <v>11871.357240241756</v>
      </c>
      <c r="U579" s="530" t="s">
        <v>59</v>
      </c>
    </row>
    <row r="580" spans="1:21" ht="13.8" x14ac:dyDescent="0.3">
      <c r="A580" s="530" t="str">
        <f t="shared" si="16"/>
        <v>Conwy.2022.Employment.Accommodation</v>
      </c>
      <c r="B580" s="530" t="s">
        <v>219</v>
      </c>
      <c r="C580" s="530" t="str">
        <f t="shared" si="17"/>
        <v>2022.Employment.Accommodation</v>
      </c>
      <c r="D580" s="530" t="s">
        <v>242</v>
      </c>
      <c r="E580" s="530" t="s">
        <v>20</v>
      </c>
      <c r="F580" s="530" t="s">
        <v>23</v>
      </c>
      <c r="G580" s="530" t="s">
        <v>23</v>
      </c>
      <c r="H580" s="530">
        <v>2654.4</v>
      </c>
      <c r="I580" s="530">
        <v>2786.5</v>
      </c>
      <c r="J580" s="530">
        <v>3154.2</v>
      </c>
      <c r="K580" s="530">
        <v>3243.9036571313864</v>
      </c>
      <c r="L580" s="530">
        <v>3422.840675347536</v>
      </c>
      <c r="M580" s="530">
        <v>3263.9134221401105</v>
      </c>
      <c r="N580" s="530">
        <v>3430.2952759438322</v>
      </c>
      <c r="O580" s="530">
        <v>3284.2768911110693</v>
      </c>
      <c r="P580" s="530">
        <v>3260.0170391205606</v>
      </c>
      <c r="Q580" s="530">
        <v>3226.1384781191391</v>
      </c>
      <c r="R580" s="530">
        <v>2980.7573605591538</v>
      </c>
      <c r="S580" s="530">
        <v>2780</v>
      </c>
      <c r="T580" s="530">
        <v>3123.9368999560652</v>
      </c>
      <c r="U580" s="530" t="s">
        <v>59</v>
      </c>
    </row>
    <row r="581" spans="1:21" ht="13.8" x14ac:dyDescent="0.3">
      <c r="A581" s="530" t="str">
        <f t="shared" si="16"/>
        <v>Conwy.2022.Employment.Food &amp; Drink</v>
      </c>
      <c r="B581" s="530" t="s">
        <v>219</v>
      </c>
      <c r="C581" s="530" t="str">
        <f t="shared" si="17"/>
        <v>2022.Employment.Food &amp; Drink</v>
      </c>
      <c r="D581" s="530" t="s">
        <v>242</v>
      </c>
      <c r="E581" s="530" t="s">
        <v>20</v>
      </c>
      <c r="F581" s="530" t="s">
        <v>49</v>
      </c>
      <c r="G581" s="530" t="s">
        <v>49</v>
      </c>
      <c r="H581" s="530">
        <v>524.47444219365627</v>
      </c>
      <c r="I581" s="530">
        <v>815.17101830029628</v>
      </c>
      <c r="J581" s="530">
        <v>1926.6565848367463</v>
      </c>
      <c r="K581" s="530">
        <v>3169.3349187099097</v>
      </c>
      <c r="L581" s="530">
        <v>3298.9874718911719</v>
      </c>
      <c r="M581" s="530">
        <v>3446.4306726548366</v>
      </c>
      <c r="N581" s="530">
        <v>4479.585866647958</v>
      </c>
      <c r="O581" s="530">
        <v>4768.7881450845689</v>
      </c>
      <c r="P581" s="530">
        <v>2980.0363942292811</v>
      </c>
      <c r="Q581" s="530">
        <v>2350.2206759090318</v>
      </c>
      <c r="R581" s="530">
        <v>1048.8656419005506</v>
      </c>
      <c r="S581" s="530">
        <v>526.39815844457132</v>
      </c>
      <c r="T581" s="530">
        <v>2444.5791659002152</v>
      </c>
      <c r="U581" s="530" t="s">
        <v>59</v>
      </c>
    </row>
    <row r="582" spans="1:21" ht="13.8" x14ac:dyDescent="0.3">
      <c r="A582" s="530" t="str">
        <f t="shared" si="16"/>
        <v>Conwy.2022.Employment.Recreation</v>
      </c>
      <c r="B582" s="530" t="s">
        <v>219</v>
      </c>
      <c r="C582" s="530" t="str">
        <f t="shared" si="17"/>
        <v>2022.Employment.Recreation</v>
      </c>
      <c r="D582" s="530" t="s">
        <v>242</v>
      </c>
      <c r="E582" s="530" t="s">
        <v>20</v>
      </c>
      <c r="F582" s="530" t="s">
        <v>50</v>
      </c>
      <c r="G582" s="530" t="s">
        <v>50</v>
      </c>
      <c r="H582" s="530">
        <v>152.90671506490804</v>
      </c>
      <c r="I582" s="530">
        <v>241.63275355337478</v>
      </c>
      <c r="J582" s="530">
        <v>611.37626711782775</v>
      </c>
      <c r="K582" s="530">
        <v>971.19998571650319</v>
      </c>
      <c r="L582" s="530">
        <v>958.1333836620289</v>
      </c>
      <c r="M582" s="530">
        <v>1048.9513464715096</v>
      </c>
      <c r="N582" s="530">
        <v>1287.7204193401212</v>
      </c>
      <c r="O582" s="530">
        <v>1296.8246420550508</v>
      </c>
      <c r="P582" s="530">
        <v>848.71253761163598</v>
      </c>
      <c r="Q582" s="530">
        <v>703.29466526641477</v>
      </c>
      <c r="R582" s="530">
        <v>299.44540160136148</v>
      </c>
      <c r="S582" s="530">
        <v>160.12615599964801</v>
      </c>
      <c r="T582" s="530">
        <v>715.02702278836534</v>
      </c>
      <c r="U582" s="530" t="s">
        <v>59</v>
      </c>
    </row>
    <row r="583" spans="1:21" ht="13.8" x14ac:dyDescent="0.3">
      <c r="A583" s="530" t="str">
        <f t="shared" si="16"/>
        <v>Conwy.2022.Employment.Shopping</v>
      </c>
      <c r="B583" s="530" t="s">
        <v>219</v>
      </c>
      <c r="C583" s="530" t="str">
        <f t="shared" si="17"/>
        <v>2022.Employment.Shopping</v>
      </c>
      <c r="D583" s="530" t="s">
        <v>242</v>
      </c>
      <c r="E583" s="530" t="s">
        <v>20</v>
      </c>
      <c r="F583" s="530" t="s">
        <v>51</v>
      </c>
      <c r="G583" s="530" t="s">
        <v>51</v>
      </c>
      <c r="H583" s="530">
        <v>534.77830241341383</v>
      </c>
      <c r="I583" s="530">
        <v>1086.4892746052753</v>
      </c>
      <c r="J583" s="530">
        <v>1874.9107176382709</v>
      </c>
      <c r="K583" s="530">
        <v>3772.9647758315064</v>
      </c>
      <c r="L583" s="530">
        <v>3760.7231826375778</v>
      </c>
      <c r="M583" s="530">
        <v>4019.5802509581954</v>
      </c>
      <c r="N583" s="530">
        <v>5386.7676813771586</v>
      </c>
      <c r="O583" s="530">
        <v>6059.9795215885633</v>
      </c>
      <c r="P583" s="530">
        <v>3439.8565403483117</v>
      </c>
      <c r="Q583" s="530">
        <v>2418.3652971772999</v>
      </c>
      <c r="R583" s="530">
        <v>1013.3935236224199</v>
      </c>
      <c r="S583" s="530">
        <v>476.08169331007883</v>
      </c>
      <c r="T583" s="530">
        <v>2820.3242301256728</v>
      </c>
      <c r="U583" s="530" t="s">
        <v>59</v>
      </c>
    </row>
    <row r="584" spans="1:21" ht="13.8" x14ac:dyDescent="0.3">
      <c r="A584" s="530" t="str">
        <f t="shared" si="16"/>
        <v>Conwy.2022.Employment.Transport</v>
      </c>
      <c r="B584" s="530" t="s">
        <v>219</v>
      </c>
      <c r="C584" s="530" t="str">
        <f t="shared" si="17"/>
        <v>2022.Employment.Transport</v>
      </c>
      <c r="D584" s="530" t="s">
        <v>242</v>
      </c>
      <c r="E584" s="530" t="s">
        <v>20</v>
      </c>
      <c r="F584" s="530" t="s">
        <v>52</v>
      </c>
      <c r="G584" s="530" t="s">
        <v>52</v>
      </c>
      <c r="H584" s="530">
        <v>80.362864948901532</v>
      </c>
      <c r="I584" s="530">
        <v>141.36187429980725</v>
      </c>
      <c r="J584" s="530">
        <v>309.99241169970514</v>
      </c>
      <c r="K584" s="530">
        <v>554.57827759338534</v>
      </c>
      <c r="L584" s="530">
        <v>562.18521821441664</v>
      </c>
      <c r="M584" s="530">
        <v>600.96032679457062</v>
      </c>
      <c r="N584" s="530">
        <v>776.1835527668984</v>
      </c>
      <c r="O584" s="530">
        <v>826.40633791009395</v>
      </c>
      <c r="P584" s="530">
        <v>505.55546372986271</v>
      </c>
      <c r="Q584" s="530">
        <v>389.96642863793357</v>
      </c>
      <c r="R584" s="530">
        <v>170.1127828372893</v>
      </c>
      <c r="S584" s="530">
        <v>82.810419901155385</v>
      </c>
      <c r="T584" s="530">
        <v>416.70632994450165</v>
      </c>
      <c r="U584" s="530" t="s">
        <v>59</v>
      </c>
    </row>
    <row r="585" spans="1:21" ht="13.8" x14ac:dyDescent="0.3">
      <c r="A585" s="530" t="str">
        <f t="shared" ref="A585:A894" si="18">B585&amp;"."&amp;D585&amp;"."&amp;E585&amp;"."&amp;F585</f>
        <v>Conwy.2022.Visitor Days.Serviced Accommodation</v>
      </c>
      <c r="B585" s="530" t="s">
        <v>219</v>
      </c>
      <c r="C585" s="530" t="str">
        <f t="shared" ref="C585:C894" si="19">D585&amp;"."&amp;E585&amp;"."&amp;F585</f>
        <v>2022.Visitor Days.Serviced Accommodation</v>
      </c>
      <c r="D585" s="530" t="s">
        <v>242</v>
      </c>
      <c r="E585" s="530" t="s">
        <v>171</v>
      </c>
      <c r="F585" s="530" t="s">
        <v>43</v>
      </c>
      <c r="G585" s="530" t="s">
        <v>43</v>
      </c>
      <c r="H585" s="530">
        <v>79.464068818813601</v>
      </c>
      <c r="I585" s="530">
        <v>103.88030701629387</v>
      </c>
      <c r="J585" s="530">
        <v>119.22833192259154</v>
      </c>
      <c r="K585" s="530">
        <v>142.2459378500244</v>
      </c>
      <c r="L585" s="530">
        <v>244.87861423556387</v>
      </c>
      <c r="M585" s="530">
        <v>193.62842624018845</v>
      </c>
      <c r="N585" s="530">
        <v>202.09923627030872</v>
      </c>
      <c r="O585" s="530">
        <v>201.71895164113042</v>
      </c>
      <c r="P585" s="530">
        <v>164.7370737567137</v>
      </c>
      <c r="Q585" s="530">
        <v>125.27745196619583</v>
      </c>
      <c r="R585" s="530">
        <v>160.67604521436874</v>
      </c>
      <c r="S585" s="530">
        <v>114.50035213797347</v>
      </c>
      <c r="T585" s="530">
        <v>1852.3347970701668</v>
      </c>
      <c r="U585" s="530" t="s">
        <v>61</v>
      </c>
    </row>
    <row r="586" spans="1:21" ht="13.8" x14ac:dyDescent="0.3">
      <c r="A586" s="530" t="str">
        <f t="shared" si="18"/>
        <v>Conwy.2022.Visitor Days.Non-Serviced Accommodation</v>
      </c>
      <c r="B586" s="530" t="s">
        <v>219</v>
      </c>
      <c r="C586" s="530" t="str">
        <f t="shared" si="19"/>
        <v>2022.Visitor Days.Non-Serviced Accommodation</v>
      </c>
      <c r="D586" s="530" t="s">
        <v>242</v>
      </c>
      <c r="E586" s="530" t="s">
        <v>171</v>
      </c>
      <c r="F586" s="530" t="s">
        <v>48</v>
      </c>
      <c r="G586" s="530" t="s">
        <v>48</v>
      </c>
      <c r="H586" s="530">
        <v>88.381985057793287</v>
      </c>
      <c r="I586" s="530">
        <v>112.10798692550928</v>
      </c>
      <c r="J586" s="530">
        <v>695.68151215011028</v>
      </c>
      <c r="K586" s="530">
        <v>959.07219083740904</v>
      </c>
      <c r="L586" s="530">
        <v>1007.4615103169324</v>
      </c>
      <c r="M586" s="530">
        <v>1070.2281213496108</v>
      </c>
      <c r="N586" s="530">
        <v>1319.3027928753168</v>
      </c>
      <c r="O586" s="530">
        <v>1273.676014511318</v>
      </c>
      <c r="P586" s="530">
        <v>935.43094902735515</v>
      </c>
      <c r="Q586" s="530">
        <v>896.76545992625188</v>
      </c>
      <c r="R586" s="530">
        <v>324.93379148485303</v>
      </c>
      <c r="S586" s="530">
        <v>101.08750309930225</v>
      </c>
      <c r="T586" s="530">
        <v>8784.129817561763</v>
      </c>
      <c r="U586" s="530" t="s">
        <v>61</v>
      </c>
    </row>
    <row r="587" spans="1:21" ht="13.8" x14ac:dyDescent="0.3">
      <c r="A587" s="530" t="str">
        <f t="shared" si="18"/>
        <v>Conwy.2022.Visitor Days.SFR</v>
      </c>
      <c r="B587" s="530" t="s">
        <v>219</v>
      </c>
      <c r="C587" s="530" t="str">
        <f t="shared" si="19"/>
        <v>2022.Visitor Days.SFR</v>
      </c>
      <c r="D587" s="530" t="s">
        <v>242</v>
      </c>
      <c r="E587" s="530" t="s">
        <v>171</v>
      </c>
      <c r="F587" s="530" t="s">
        <v>18</v>
      </c>
      <c r="G587" s="530" t="s">
        <v>18</v>
      </c>
      <c r="H587" s="530">
        <v>58.718863636363629</v>
      </c>
      <c r="I587" s="530">
        <v>19.729538181818182</v>
      </c>
      <c r="J587" s="530">
        <v>22.443654545454546</v>
      </c>
      <c r="K587" s="530">
        <v>53.55160363636363</v>
      </c>
      <c r="L587" s="530">
        <v>34.448399999999999</v>
      </c>
      <c r="M587" s="530">
        <v>26.536228854545456</v>
      </c>
      <c r="N587" s="530">
        <v>43.060499999999998</v>
      </c>
      <c r="O587" s="530">
        <v>45.583584327272725</v>
      </c>
      <c r="P587" s="530">
        <v>23.479246521818183</v>
      </c>
      <c r="Q587" s="530">
        <v>23.456228727272727</v>
      </c>
      <c r="R587" s="530">
        <v>18.277224954545449</v>
      </c>
      <c r="S587" s="530">
        <v>52.92526909090909</v>
      </c>
      <c r="T587" s="530">
        <v>422.21034247636356</v>
      </c>
      <c r="U587" s="530" t="s">
        <v>61</v>
      </c>
    </row>
    <row r="588" spans="1:21" ht="13.8" x14ac:dyDescent="0.3">
      <c r="A588" s="530" t="str">
        <f t="shared" si="18"/>
        <v>Conwy.2022.Visitor Days.Day Visitor</v>
      </c>
      <c r="B588" s="530" t="s">
        <v>219</v>
      </c>
      <c r="C588" s="530" t="str">
        <f t="shared" si="19"/>
        <v>2022.Visitor Days.Day Visitor</v>
      </c>
      <c r="D588" s="530" t="s">
        <v>242</v>
      </c>
      <c r="E588" s="530" t="s">
        <v>171</v>
      </c>
      <c r="F588" s="530" t="s">
        <v>71</v>
      </c>
      <c r="G588" s="530" t="s">
        <v>71</v>
      </c>
      <c r="H588" s="530">
        <v>72.775941389191104</v>
      </c>
      <c r="I588" s="530">
        <v>259.02418637380833</v>
      </c>
      <c r="J588" s="530">
        <v>276.48402690358336</v>
      </c>
      <c r="K588" s="530">
        <v>806.89403100107938</v>
      </c>
      <c r="L588" s="530">
        <v>737.59442445932575</v>
      </c>
      <c r="M588" s="530">
        <v>826.65337208602716</v>
      </c>
      <c r="N588" s="530">
        <v>1196.6764612138327</v>
      </c>
      <c r="O588" s="530">
        <v>1468.293302283106</v>
      </c>
      <c r="P588" s="530">
        <v>715.448517212144</v>
      </c>
      <c r="Q588" s="530">
        <v>384.73882022130454</v>
      </c>
      <c r="R588" s="530">
        <v>117.62208126239432</v>
      </c>
      <c r="S588" s="530">
        <v>37.037441267438439</v>
      </c>
      <c r="T588" s="530">
        <v>6899.2426056732338</v>
      </c>
      <c r="U588" s="530" t="s">
        <v>61</v>
      </c>
    </row>
    <row r="589" spans="1:21" ht="13.8" x14ac:dyDescent="0.3">
      <c r="A589" s="530" t="str">
        <f t="shared" si="18"/>
        <v>Conwy.2022.Visitor Days.Total</v>
      </c>
      <c r="B589" s="530" t="s">
        <v>219</v>
      </c>
      <c r="C589" s="530" t="str">
        <f t="shared" si="19"/>
        <v>2022.Visitor Days.Total</v>
      </c>
      <c r="D589" s="530" t="s">
        <v>242</v>
      </c>
      <c r="E589" s="530" t="s">
        <v>171</v>
      </c>
      <c r="F589" s="530" t="s">
        <v>54</v>
      </c>
      <c r="G589" s="530" t="s">
        <v>54</v>
      </c>
      <c r="H589" s="530">
        <v>299.34085890216164</v>
      </c>
      <c r="I589" s="530">
        <v>494.74201849742963</v>
      </c>
      <c r="J589" s="530">
        <v>1113.8375255217397</v>
      </c>
      <c r="K589" s="530">
        <v>1961.7637633248764</v>
      </c>
      <c r="L589" s="530">
        <v>2024.3829490118219</v>
      </c>
      <c r="M589" s="530">
        <v>2117.0461485303717</v>
      </c>
      <c r="N589" s="530">
        <v>2761.1389903594581</v>
      </c>
      <c r="O589" s="530">
        <v>2989.2718527628272</v>
      </c>
      <c r="P589" s="530">
        <v>1839.095786518031</v>
      </c>
      <c r="Q589" s="530">
        <v>1430.2379608410251</v>
      </c>
      <c r="R589" s="530">
        <v>621.50914291616152</v>
      </c>
      <c r="S589" s="530">
        <v>305.55056559562325</v>
      </c>
      <c r="T589" s="530">
        <v>17957.917562781528</v>
      </c>
      <c r="U589" s="530" t="s">
        <v>61</v>
      </c>
    </row>
    <row r="590" spans="1:21" ht="13.8" x14ac:dyDescent="0.3">
      <c r="A590" s="530" t="str">
        <f t="shared" si="18"/>
        <v>Conwy.2022.Visitor Numbers.Serviced Accommodation</v>
      </c>
      <c r="B590" s="530" t="s">
        <v>219</v>
      </c>
      <c r="C590" s="530" t="str">
        <f t="shared" si="19"/>
        <v>2022.Visitor Numbers.Serviced Accommodation</v>
      </c>
      <c r="D590" s="530" t="s">
        <v>242</v>
      </c>
      <c r="E590" s="530" t="s">
        <v>172</v>
      </c>
      <c r="F590" s="530" t="s">
        <v>43</v>
      </c>
      <c r="G590" s="530" t="s">
        <v>43</v>
      </c>
      <c r="H590" s="530">
        <v>52.119305111933159</v>
      </c>
      <c r="I590" s="530">
        <v>70.000796051456533</v>
      </c>
      <c r="J590" s="530">
        <v>57.715186301471093</v>
      </c>
      <c r="K590" s="530">
        <v>78.016084493293562</v>
      </c>
      <c r="L590" s="530">
        <v>129.81291317870196</v>
      </c>
      <c r="M590" s="530">
        <v>108.58890595230206</v>
      </c>
      <c r="N590" s="530">
        <v>113.59338848204654</v>
      </c>
      <c r="O590" s="530">
        <v>112.17719239525687</v>
      </c>
      <c r="P590" s="530">
        <v>82.946295935303226</v>
      </c>
      <c r="Q590" s="530">
        <v>72.718224868091056</v>
      </c>
      <c r="R590" s="530">
        <v>92.797901108728865</v>
      </c>
      <c r="S590" s="530">
        <v>69.970537102064242</v>
      </c>
      <c r="T590" s="530">
        <v>1040.4567309806491</v>
      </c>
      <c r="U590" s="530" t="s">
        <v>61</v>
      </c>
    </row>
    <row r="591" spans="1:21" ht="13.8" x14ac:dyDescent="0.3">
      <c r="A591" s="530" t="str">
        <f t="shared" si="18"/>
        <v>Conwy.2022.Visitor Numbers.Non-Serviced Accommodation</v>
      </c>
      <c r="B591" s="530" t="s">
        <v>219</v>
      </c>
      <c r="C591" s="530" t="str">
        <f t="shared" si="19"/>
        <v>2022.Visitor Numbers.Non-Serviced Accommodation</v>
      </c>
      <c r="D591" s="530" t="s">
        <v>242</v>
      </c>
      <c r="E591" s="530" t="s">
        <v>172</v>
      </c>
      <c r="F591" s="530" t="s">
        <v>48</v>
      </c>
      <c r="G591" s="530" t="s">
        <v>48</v>
      </c>
      <c r="H591" s="530">
        <v>25.994701487586262</v>
      </c>
      <c r="I591" s="530">
        <v>28.02699673137732</v>
      </c>
      <c r="J591" s="530">
        <v>144.93364836460631</v>
      </c>
      <c r="K591" s="530">
        <v>149.85502981834514</v>
      </c>
      <c r="L591" s="530">
        <v>146.00891453868584</v>
      </c>
      <c r="M591" s="530">
        <v>152.88973162137293</v>
      </c>
      <c r="N591" s="530">
        <v>185.81729477117139</v>
      </c>
      <c r="O591" s="530">
        <v>167.58894927780503</v>
      </c>
      <c r="P591" s="530">
        <v>135.56970275758769</v>
      </c>
      <c r="Q591" s="530">
        <v>128.10935141803597</v>
      </c>
      <c r="R591" s="530">
        <v>72.207509218856231</v>
      </c>
      <c r="S591" s="530">
        <v>18.051339839161116</v>
      </c>
      <c r="T591" s="530">
        <v>1355.0531698445911</v>
      </c>
      <c r="U591" s="530" t="s">
        <v>61</v>
      </c>
    </row>
    <row r="592" spans="1:21" ht="13.8" x14ac:dyDescent="0.3">
      <c r="A592" s="530" t="str">
        <f t="shared" si="18"/>
        <v>Conwy.2022.Visitor Numbers.SFR</v>
      </c>
      <c r="B592" s="530" t="s">
        <v>219</v>
      </c>
      <c r="C592" s="530" t="str">
        <f t="shared" si="19"/>
        <v>2022.Visitor Numbers.SFR</v>
      </c>
      <c r="D592" s="530" t="s">
        <v>242</v>
      </c>
      <c r="E592" s="530" t="s">
        <v>172</v>
      </c>
      <c r="F592" s="530" t="s">
        <v>18</v>
      </c>
      <c r="G592" s="530" t="s">
        <v>18</v>
      </c>
      <c r="H592" s="530">
        <v>23.487545454545451</v>
      </c>
      <c r="I592" s="530">
        <v>9.3950181818181822</v>
      </c>
      <c r="J592" s="530">
        <v>10.438909090909091</v>
      </c>
      <c r="K592" s="530">
        <v>19.833927272727269</v>
      </c>
      <c r="L592" s="530">
        <v>15.658363636363635</v>
      </c>
      <c r="M592" s="530">
        <v>12.636299454545455</v>
      </c>
      <c r="N592" s="530">
        <v>17.2242</v>
      </c>
      <c r="O592" s="530">
        <v>17.532147818181816</v>
      </c>
      <c r="P592" s="530">
        <v>10.819929272727274</v>
      </c>
      <c r="Q592" s="530">
        <v>10.960854545454545</v>
      </c>
      <c r="R592" s="530">
        <v>9.0035590909090892</v>
      </c>
      <c r="S592" s="530">
        <v>20.355872727272725</v>
      </c>
      <c r="T592" s="530">
        <v>177.34662654545451</v>
      </c>
      <c r="U592" s="530" t="s">
        <v>61</v>
      </c>
    </row>
    <row r="593" spans="1:21" ht="13.8" x14ac:dyDescent="0.3">
      <c r="A593" s="530" t="str">
        <f t="shared" si="18"/>
        <v>Conwy.2022.Visitor Numbers.Day Visitor</v>
      </c>
      <c r="B593" s="530" t="s">
        <v>219</v>
      </c>
      <c r="C593" s="530" t="str">
        <f t="shared" si="19"/>
        <v>2022.Visitor Numbers.Day Visitor</v>
      </c>
      <c r="D593" s="530" t="s">
        <v>242</v>
      </c>
      <c r="E593" s="530" t="s">
        <v>172</v>
      </c>
      <c r="F593" s="530" t="s">
        <v>71</v>
      </c>
      <c r="G593" s="530" t="s">
        <v>71</v>
      </c>
      <c r="H593" s="530">
        <v>72.775941389191104</v>
      </c>
      <c r="I593" s="530">
        <v>259.02418637380833</v>
      </c>
      <c r="J593" s="530">
        <v>276.48402690358336</v>
      </c>
      <c r="K593" s="530">
        <v>806.89403100107938</v>
      </c>
      <c r="L593" s="530">
        <v>737.59442445932575</v>
      </c>
      <c r="M593" s="530">
        <v>826.65337208602716</v>
      </c>
      <c r="N593" s="530">
        <v>1196.6764612138327</v>
      </c>
      <c r="O593" s="530">
        <v>1468.293302283106</v>
      </c>
      <c r="P593" s="530">
        <v>715.448517212144</v>
      </c>
      <c r="Q593" s="530">
        <v>384.73882022130454</v>
      </c>
      <c r="R593" s="530">
        <v>117.62208126239432</v>
      </c>
      <c r="S593" s="530">
        <v>37.037441267438439</v>
      </c>
      <c r="T593" s="530">
        <v>6899.2426056732338</v>
      </c>
      <c r="U593" s="530" t="s">
        <v>61</v>
      </c>
    </row>
    <row r="594" spans="1:21" ht="13.8" x14ac:dyDescent="0.3">
      <c r="A594" s="530" t="str">
        <f t="shared" si="18"/>
        <v>Conwy.2022.Visitor Numbers.Total</v>
      </c>
      <c r="B594" s="530" t="s">
        <v>219</v>
      </c>
      <c r="C594" s="530" t="str">
        <f t="shared" si="19"/>
        <v>2022.Visitor Numbers.Total</v>
      </c>
      <c r="D594" s="530" t="s">
        <v>242</v>
      </c>
      <c r="E594" s="530" t="s">
        <v>172</v>
      </c>
      <c r="F594" s="530" t="s">
        <v>54</v>
      </c>
      <c r="G594" s="530" t="s">
        <v>54</v>
      </c>
      <c r="H594" s="530">
        <v>174.37749344325599</v>
      </c>
      <c r="I594" s="530">
        <v>366.44699733846039</v>
      </c>
      <c r="J594" s="530">
        <v>489.57177066056983</v>
      </c>
      <c r="K594" s="530">
        <v>1054.5990725854454</v>
      </c>
      <c r="L594" s="530">
        <v>1029.0746158130771</v>
      </c>
      <c r="M594" s="530">
        <v>1100.7683091142476</v>
      </c>
      <c r="N594" s="530">
        <v>1513.3113444670507</v>
      </c>
      <c r="O594" s="530">
        <v>1765.5915917743496</v>
      </c>
      <c r="P594" s="530">
        <v>944.78444517776222</v>
      </c>
      <c r="Q594" s="530">
        <v>596.52725105288607</v>
      </c>
      <c r="R594" s="530">
        <v>291.63105068088851</v>
      </c>
      <c r="S594" s="530">
        <v>145.41519093593652</v>
      </c>
      <c r="T594" s="530">
        <v>9472.0991330439301</v>
      </c>
      <c r="U594" s="530" t="s">
        <v>61</v>
      </c>
    </row>
    <row r="595" spans="1:21" ht="13.8" x14ac:dyDescent="0.3">
      <c r="A595" s="530" t="str">
        <f t="shared" si="18"/>
        <v>Conwy.2022.Vehicle Days.Serviced Accommodation</v>
      </c>
      <c r="B595" s="530" t="s">
        <v>219</v>
      </c>
      <c r="C595" s="530" t="str">
        <f t="shared" si="19"/>
        <v>2022.Vehicle Days.Serviced Accommodation</v>
      </c>
      <c r="D595" s="530" t="s">
        <v>242</v>
      </c>
      <c r="E595" s="530" t="s">
        <v>21</v>
      </c>
      <c r="F595" s="530" t="s">
        <v>43</v>
      </c>
      <c r="G595" s="530" t="s">
        <v>43</v>
      </c>
      <c r="H595" s="530">
        <v>20.390867109107134</v>
      </c>
      <c r="I595" s="530">
        <v>35.296695570204903</v>
      </c>
      <c r="J595" s="530">
        <v>42.359731607534023</v>
      </c>
      <c r="K595" s="530">
        <v>36.900243073981542</v>
      </c>
      <c r="L595" s="530">
        <v>67.907325171226674</v>
      </c>
      <c r="M595" s="530">
        <v>53.628210742206917</v>
      </c>
      <c r="N595" s="530">
        <v>52.31777212458109</v>
      </c>
      <c r="O595" s="530">
        <v>52.28781447535998</v>
      </c>
      <c r="P595" s="530">
        <v>42.694136132620159</v>
      </c>
      <c r="Q595" s="530">
        <v>38.715922899151849</v>
      </c>
      <c r="R595" s="530">
        <v>50.672240487922053</v>
      </c>
      <c r="S595" s="530">
        <v>29.707569836090322</v>
      </c>
      <c r="T595" s="530">
        <v>522.87852922998661</v>
      </c>
      <c r="U595" s="530" t="s">
        <v>61</v>
      </c>
    </row>
    <row r="596" spans="1:21" ht="13.8" x14ac:dyDescent="0.3">
      <c r="A596" s="530" t="str">
        <f t="shared" si="18"/>
        <v>Conwy.2022.Vehicle Days.Non-Serviced Accommodation</v>
      </c>
      <c r="B596" s="530" t="s">
        <v>219</v>
      </c>
      <c r="C596" s="530" t="str">
        <f t="shared" si="19"/>
        <v>2022.Vehicle Days.Non-Serviced Accommodation</v>
      </c>
      <c r="D596" s="530" t="s">
        <v>242</v>
      </c>
      <c r="E596" s="530" t="s">
        <v>21</v>
      </c>
      <c r="F596" s="530" t="s">
        <v>48</v>
      </c>
      <c r="G596" s="530" t="s">
        <v>48</v>
      </c>
      <c r="H596" s="530">
        <v>24.689547401012774</v>
      </c>
      <c r="I596" s="530">
        <v>39.09982966608856</v>
      </c>
      <c r="J596" s="530">
        <v>182.92738132548413</v>
      </c>
      <c r="K596" s="530">
        <v>246.32186009786054</v>
      </c>
      <c r="L596" s="530">
        <v>260.41286193990237</v>
      </c>
      <c r="M596" s="530">
        <v>281.27261029742704</v>
      </c>
      <c r="N596" s="530">
        <v>333.09192339942598</v>
      </c>
      <c r="O596" s="530">
        <v>312.8819473032475</v>
      </c>
      <c r="P596" s="530">
        <v>240.16701274929963</v>
      </c>
      <c r="Q596" s="530">
        <v>227.64703652569824</v>
      </c>
      <c r="R596" s="530">
        <v>83.794075762936885</v>
      </c>
      <c r="S596" s="530">
        <v>22.736480900006402</v>
      </c>
      <c r="T596" s="530">
        <v>2255.0425673683894</v>
      </c>
      <c r="U596" s="530" t="s">
        <v>61</v>
      </c>
    </row>
    <row r="597" spans="1:21" ht="13.8" x14ac:dyDescent="0.3">
      <c r="A597" s="530" t="str">
        <f t="shared" si="18"/>
        <v>Conwy.2022.Vehicle Days.SFR</v>
      </c>
      <c r="B597" s="530" t="s">
        <v>219</v>
      </c>
      <c r="C597" s="530" t="str">
        <f t="shared" si="19"/>
        <v>2022.Vehicle Days.SFR</v>
      </c>
      <c r="D597" s="530" t="s">
        <v>242</v>
      </c>
      <c r="E597" s="530" t="s">
        <v>21</v>
      </c>
      <c r="F597" s="530" t="s">
        <v>18</v>
      </c>
      <c r="G597" s="530" t="s">
        <v>18</v>
      </c>
      <c r="H597" s="530">
        <v>18.39857727272727</v>
      </c>
      <c r="I597" s="530">
        <v>6.1819219636363636</v>
      </c>
      <c r="J597" s="530">
        <v>7.0323450909090903</v>
      </c>
      <c r="K597" s="530">
        <v>16.77950247272727</v>
      </c>
      <c r="L597" s="530">
        <v>10.793831999999998</v>
      </c>
      <c r="M597" s="530">
        <v>8.3146850410909092</v>
      </c>
      <c r="N597" s="530">
        <v>13.492289999999999</v>
      </c>
      <c r="O597" s="530">
        <v>14.282856422545454</v>
      </c>
      <c r="P597" s="530">
        <v>7.356830576836364</v>
      </c>
      <c r="Q597" s="530">
        <v>7.349618334545454</v>
      </c>
      <c r="R597" s="530">
        <v>5.7268638190909078</v>
      </c>
      <c r="S597" s="530">
        <v>16.583250981818182</v>
      </c>
      <c r="T597" s="530">
        <v>132.29257397592727</v>
      </c>
      <c r="U597" s="530" t="s">
        <v>61</v>
      </c>
    </row>
    <row r="598" spans="1:21" ht="13.8" x14ac:dyDescent="0.3">
      <c r="A598" s="530" t="str">
        <f t="shared" si="18"/>
        <v>Conwy.2022.Vehicle Days.Day Visitor</v>
      </c>
      <c r="B598" s="530" t="s">
        <v>219</v>
      </c>
      <c r="C598" s="530" t="str">
        <f t="shared" si="19"/>
        <v>2022.Vehicle Days.Day Visitor</v>
      </c>
      <c r="D598" s="530" t="s">
        <v>242</v>
      </c>
      <c r="E598" s="530" t="s">
        <v>21</v>
      </c>
      <c r="F598" s="530" t="s">
        <v>71</v>
      </c>
      <c r="G598" s="530" t="s">
        <v>71</v>
      </c>
      <c r="H598" s="530">
        <v>16.010707105622043</v>
      </c>
      <c r="I598" s="530">
        <v>65.126081145414673</v>
      </c>
      <c r="J598" s="530">
        <v>69.51598390718668</v>
      </c>
      <c r="K598" s="530">
        <v>177.51668682023745</v>
      </c>
      <c r="L598" s="530">
        <v>162.27077338105167</v>
      </c>
      <c r="M598" s="530">
        <v>207.84427641020113</v>
      </c>
      <c r="N598" s="530">
        <v>263.26882146704321</v>
      </c>
      <c r="O598" s="530">
        <v>323.02452650228332</v>
      </c>
      <c r="P598" s="530">
        <v>157.39867378667168</v>
      </c>
      <c r="Q598" s="530">
        <v>96.734331941356572</v>
      </c>
      <c r="R598" s="530">
        <v>29.573551860259141</v>
      </c>
      <c r="S598" s="530">
        <v>8.1482370788364573</v>
      </c>
      <c r="T598" s="530">
        <v>1576.4326514061643</v>
      </c>
      <c r="U598" s="530" t="s">
        <v>61</v>
      </c>
    </row>
    <row r="599" spans="1:21" ht="13.8" x14ac:dyDescent="0.3">
      <c r="A599" s="530" t="str">
        <f t="shared" si="18"/>
        <v>Conwy.2022.Vehicle Days.Total</v>
      </c>
      <c r="B599" s="530" t="s">
        <v>219</v>
      </c>
      <c r="C599" s="530" t="str">
        <f t="shared" si="19"/>
        <v>2022.Vehicle Days.Total</v>
      </c>
      <c r="D599" s="530" t="s">
        <v>242</v>
      </c>
      <c r="E599" s="530" t="s">
        <v>21</v>
      </c>
      <c r="F599" s="530" t="s">
        <v>54</v>
      </c>
      <c r="G599" s="530" t="s">
        <v>54</v>
      </c>
      <c r="H599" s="530">
        <v>79.489698888469221</v>
      </c>
      <c r="I599" s="530">
        <v>145.7045283453445</v>
      </c>
      <c r="J599" s="530">
        <v>301.83544193111396</v>
      </c>
      <c r="K599" s="530">
        <v>477.51829246480679</v>
      </c>
      <c r="L599" s="530">
        <v>501.38479249218074</v>
      </c>
      <c r="M599" s="530">
        <v>551.05978249092595</v>
      </c>
      <c r="N599" s="530">
        <v>662.17080699105031</v>
      </c>
      <c r="O599" s="530">
        <v>702.47714470343635</v>
      </c>
      <c r="P599" s="530">
        <v>447.61665324542787</v>
      </c>
      <c r="Q599" s="530">
        <v>370.44690970075214</v>
      </c>
      <c r="R599" s="530">
        <v>169.76673193020898</v>
      </c>
      <c r="S599" s="530">
        <v>77.175538796751368</v>
      </c>
      <c r="T599" s="530">
        <v>4486.6463219804682</v>
      </c>
      <c r="U599" s="530" t="s">
        <v>61</v>
      </c>
    </row>
    <row r="600" spans="1:21" ht="13.8" x14ac:dyDescent="0.3">
      <c r="A600" s="530" t="str">
        <f t="shared" si="18"/>
        <v>Conwy.2022.Vehicle Numbers.Serviced Accommodation</v>
      </c>
      <c r="B600" s="530" t="s">
        <v>219</v>
      </c>
      <c r="C600" s="530" t="str">
        <f t="shared" si="19"/>
        <v>2022.Vehicle Numbers.Serviced Accommodation</v>
      </c>
      <c r="D600" s="530" t="s">
        <v>242</v>
      </c>
      <c r="E600" s="530" t="s">
        <v>22</v>
      </c>
      <c r="F600" s="530" t="s">
        <v>43</v>
      </c>
      <c r="G600" s="530" t="s">
        <v>43</v>
      </c>
      <c r="H600" s="530">
        <v>13.328027171260779</v>
      </c>
      <c r="I600" s="530">
        <v>23.777023670291555</v>
      </c>
      <c r="J600" s="530">
        <v>20.506591197101901</v>
      </c>
      <c r="K600" s="530">
        <v>20.23768154213144</v>
      </c>
      <c r="L600" s="530">
        <v>35.956224618621462</v>
      </c>
      <c r="M600" s="530">
        <v>30.066745147811957</v>
      </c>
      <c r="N600" s="530">
        <v>29.407598057721444</v>
      </c>
      <c r="O600" s="530">
        <v>29.082326364169987</v>
      </c>
      <c r="P600" s="530">
        <v>21.497285421116132</v>
      </c>
      <c r="Q600" s="530">
        <v>22.50180160151611</v>
      </c>
      <c r="R600" s="530">
        <v>28.856685054758255</v>
      </c>
      <c r="S600" s="530">
        <v>18.157605357768492</v>
      </c>
      <c r="T600" s="530">
        <v>293.37559520426953</v>
      </c>
      <c r="U600" s="530" t="s">
        <v>61</v>
      </c>
    </row>
    <row r="601" spans="1:21" ht="13.8" x14ac:dyDescent="0.3">
      <c r="A601" s="530" t="str">
        <f t="shared" si="18"/>
        <v>Conwy.2022.Vehicle Numbers.Non-Serviced Accommodation</v>
      </c>
      <c r="B601" s="530" t="s">
        <v>219</v>
      </c>
      <c r="C601" s="530" t="str">
        <f t="shared" si="19"/>
        <v>2022.Vehicle Numbers.Non-Serviced Accommodation</v>
      </c>
      <c r="D601" s="530" t="s">
        <v>242</v>
      </c>
      <c r="E601" s="530" t="s">
        <v>22</v>
      </c>
      <c r="F601" s="530" t="s">
        <v>48</v>
      </c>
      <c r="G601" s="530" t="s">
        <v>48</v>
      </c>
      <c r="H601" s="530">
        <v>7.2616315885331684</v>
      </c>
      <c r="I601" s="530">
        <v>9.77495741652214</v>
      </c>
      <c r="J601" s="530">
        <v>38.109871109475868</v>
      </c>
      <c r="K601" s="530">
        <v>38.487790640290704</v>
      </c>
      <c r="L601" s="530">
        <v>37.740994484043824</v>
      </c>
      <c r="M601" s="530">
        <v>40.181801471061007</v>
      </c>
      <c r="N601" s="530">
        <v>46.914355408369858</v>
      </c>
      <c r="O601" s="530">
        <v>41.168677276743097</v>
      </c>
      <c r="P601" s="530">
        <v>34.806813441927481</v>
      </c>
      <c r="Q601" s="530">
        <v>32.52100521795689</v>
      </c>
      <c r="R601" s="530">
        <v>18.620905725097089</v>
      </c>
      <c r="S601" s="530">
        <v>4.0600858750011444</v>
      </c>
      <c r="T601" s="530">
        <v>349.64888965502234</v>
      </c>
      <c r="U601" s="530" t="s">
        <v>61</v>
      </c>
    </row>
    <row r="602" spans="1:21" ht="13.8" x14ac:dyDescent="0.3">
      <c r="A602" s="530" t="str">
        <f t="shared" si="18"/>
        <v>Conwy.2022.Vehicle Numbers.SFR</v>
      </c>
      <c r="B602" s="530" t="s">
        <v>219</v>
      </c>
      <c r="C602" s="530" t="str">
        <f t="shared" si="19"/>
        <v>2022.Vehicle Numbers.SFR</v>
      </c>
      <c r="D602" s="530" t="s">
        <v>242</v>
      </c>
      <c r="E602" s="530" t="s">
        <v>22</v>
      </c>
      <c r="F602" s="530" t="s">
        <v>18</v>
      </c>
      <c r="G602" s="530" t="s">
        <v>18</v>
      </c>
      <c r="H602" s="530">
        <v>7.3594309090909071</v>
      </c>
      <c r="I602" s="530">
        <v>2.9437723636363637</v>
      </c>
      <c r="J602" s="530">
        <v>3.2708581818181814</v>
      </c>
      <c r="K602" s="530">
        <v>6.2146305454545434</v>
      </c>
      <c r="L602" s="530">
        <v>4.9062872727272726</v>
      </c>
      <c r="M602" s="530">
        <v>3.9593738290909091</v>
      </c>
      <c r="N602" s="530">
        <v>5.3969159999999992</v>
      </c>
      <c r="O602" s="530">
        <v>5.4934063163636351</v>
      </c>
      <c r="P602" s="530">
        <v>3.3902445054545458</v>
      </c>
      <c r="Q602" s="530">
        <v>3.4344010909090907</v>
      </c>
      <c r="R602" s="530">
        <v>2.8211151818181808</v>
      </c>
      <c r="S602" s="530">
        <v>6.3781734545454531</v>
      </c>
      <c r="T602" s="530">
        <v>55.568609650909075</v>
      </c>
      <c r="U602" s="530" t="s">
        <v>61</v>
      </c>
    </row>
    <row r="603" spans="1:21" ht="13.8" x14ac:dyDescent="0.3">
      <c r="A603" s="530" t="str">
        <f t="shared" si="18"/>
        <v>Conwy.2022.Vehicle Numbers.Day Visitor</v>
      </c>
      <c r="B603" s="530" t="s">
        <v>219</v>
      </c>
      <c r="C603" s="530" t="str">
        <f t="shared" si="19"/>
        <v>2022.Vehicle Numbers.Day Visitor</v>
      </c>
      <c r="D603" s="530" t="s">
        <v>242</v>
      </c>
      <c r="E603" s="530" t="s">
        <v>22</v>
      </c>
      <c r="F603" s="530" t="s">
        <v>71</v>
      </c>
      <c r="G603" s="530" t="s">
        <v>71</v>
      </c>
      <c r="H603" s="530">
        <v>16.010707105622043</v>
      </c>
      <c r="I603" s="530">
        <v>65.126081145414673</v>
      </c>
      <c r="J603" s="530">
        <v>69.51598390718668</v>
      </c>
      <c r="K603" s="530">
        <v>177.51668682023745</v>
      </c>
      <c r="L603" s="530">
        <v>162.27077338105167</v>
      </c>
      <c r="M603" s="530">
        <v>207.84427641020113</v>
      </c>
      <c r="N603" s="530">
        <v>263.26882146704321</v>
      </c>
      <c r="O603" s="530">
        <v>323.02452650228332</v>
      </c>
      <c r="P603" s="530">
        <v>157.39867378667168</v>
      </c>
      <c r="Q603" s="530">
        <v>96.734331941356572</v>
      </c>
      <c r="R603" s="530">
        <v>29.573551860259141</v>
      </c>
      <c r="S603" s="530">
        <v>8.1482370788364573</v>
      </c>
      <c r="T603" s="530">
        <v>1576.4326514061643</v>
      </c>
      <c r="U603" s="530" t="s">
        <v>61</v>
      </c>
    </row>
    <row r="604" spans="1:21" ht="13.8" x14ac:dyDescent="0.3">
      <c r="A604" s="530" t="str">
        <f t="shared" si="18"/>
        <v>Conwy.2022.Vehicle Numbers.Total</v>
      </c>
      <c r="B604" s="530" t="s">
        <v>219</v>
      </c>
      <c r="C604" s="530" t="str">
        <f t="shared" si="19"/>
        <v>2022.Vehicle Numbers.Total</v>
      </c>
      <c r="D604" s="530" t="s">
        <v>242</v>
      </c>
      <c r="E604" s="530" t="s">
        <v>22</v>
      </c>
      <c r="F604" s="530" t="s">
        <v>54</v>
      </c>
      <c r="G604" s="530" t="s">
        <v>54</v>
      </c>
      <c r="H604" s="530">
        <v>43.959796774506898</v>
      </c>
      <c r="I604" s="530">
        <v>101.62183459586473</v>
      </c>
      <c r="J604" s="530">
        <v>131.40330439558264</v>
      </c>
      <c r="K604" s="530">
        <v>242.45678954811416</v>
      </c>
      <c r="L604" s="530">
        <v>240.87427975644422</v>
      </c>
      <c r="M604" s="530">
        <v>282.05219685816502</v>
      </c>
      <c r="N604" s="530">
        <v>344.9876909331345</v>
      </c>
      <c r="O604" s="530">
        <v>398.76893645956005</v>
      </c>
      <c r="P604" s="530">
        <v>217.09301715516983</v>
      </c>
      <c r="Q604" s="530">
        <v>155.19153985173867</v>
      </c>
      <c r="R604" s="530">
        <v>79.872257821932664</v>
      </c>
      <c r="S604" s="530">
        <v>36.744101766151552</v>
      </c>
      <c r="T604" s="530">
        <v>2275.0257459163649</v>
      </c>
      <c r="U604" s="530" t="s">
        <v>61</v>
      </c>
    </row>
    <row r="605" spans="1:21" ht="13.8" x14ac:dyDescent="0.3">
      <c r="A605" s="530" t="str">
        <f t="shared" si="18"/>
        <v>Conwy.2022.Accommodation.Serviced Accommodation</v>
      </c>
      <c r="B605" s="530" t="s">
        <v>219</v>
      </c>
      <c r="C605" s="530" t="str">
        <f t="shared" si="19"/>
        <v>2022.Accommodation.Serviced Accommodation</v>
      </c>
      <c r="D605" s="530" t="s">
        <v>242</v>
      </c>
      <c r="E605" s="530" t="s">
        <v>23</v>
      </c>
      <c r="F605" s="530" t="s">
        <v>43</v>
      </c>
      <c r="G605" s="530" t="s">
        <v>43</v>
      </c>
      <c r="H605" s="530">
        <v>7712</v>
      </c>
      <c r="I605" s="530">
        <v>8389</v>
      </c>
      <c r="J605" s="530">
        <v>8992</v>
      </c>
      <c r="K605" s="530">
        <v>9293</v>
      </c>
      <c r="L605" s="530">
        <v>9293</v>
      </c>
      <c r="M605" s="530">
        <v>9293</v>
      </c>
      <c r="N605" s="530">
        <v>9293</v>
      </c>
      <c r="O605" s="530">
        <v>9293</v>
      </c>
      <c r="P605" s="530">
        <v>9293</v>
      </c>
      <c r="Q605" s="530">
        <v>9236</v>
      </c>
      <c r="R605" s="530">
        <v>8953</v>
      </c>
      <c r="S605" s="530">
        <v>8382</v>
      </c>
      <c r="T605" s="530">
        <v>9293</v>
      </c>
      <c r="U605" s="530" t="s">
        <v>58</v>
      </c>
    </row>
    <row r="606" spans="1:21" ht="13.8" x14ac:dyDescent="0.3">
      <c r="A606" s="530" t="str">
        <f t="shared" si="18"/>
        <v>Conwy.2022.Accommodation.Non-Serviced Accommodation</v>
      </c>
      <c r="B606" s="530" t="s">
        <v>219</v>
      </c>
      <c r="C606" s="530" t="str">
        <f t="shared" si="19"/>
        <v>2022.Accommodation.Non-Serviced Accommodation</v>
      </c>
      <c r="D606" s="530" t="s">
        <v>242</v>
      </c>
      <c r="E606" s="530" t="s">
        <v>23</v>
      </c>
      <c r="F606" s="530" t="s">
        <v>48</v>
      </c>
      <c r="G606" s="530" t="s">
        <v>48</v>
      </c>
      <c r="H606" s="530">
        <v>8604.7006944052737</v>
      </c>
      <c r="I606" s="530">
        <v>8332.5145205099161</v>
      </c>
      <c r="J606" s="530">
        <v>43666.306543139865</v>
      </c>
      <c r="K606" s="530">
        <v>49962.195529563738</v>
      </c>
      <c r="L606" s="530">
        <v>49760.603467816283</v>
      </c>
      <c r="M606" s="530">
        <v>50095.578930221222</v>
      </c>
      <c r="N606" s="530">
        <v>49990.630902560668</v>
      </c>
      <c r="O606" s="530">
        <v>49979.11432069468</v>
      </c>
      <c r="P606" s="530">
        <v>50490.156939593864</v>
      </c>
      <c r="Q606" s="530">
        <v>50545.145023941302</v>
      </c>
      <c r="R606" s="530">
        <v>31006.858853130056</v>
      </c>
      <c r="S606" s="530">
        <v>11329.023569890574</v>
      </c>
      <c r="T606" s="530">
        <v>50545.145023941302</v>
      </c>
      <c r="U606" s="530" t="s">
        <v>58</v>
      </c>
    </row>
    <row r="607" spans="1:21" ht="13.8" x14ac:dyDescent="0.3">
      <c r="A607" s="530" t="str">
        <f t="shared" si="18"/>
        <v>Conwy.2022.Accommodation.Total</v>
      </c>
      <c r="B607" s="530" t="s">
        <v>219</v>
      </c>
      <c r="C607" s="530" t="str">
        <f t="shared" si="19"/>
        <v>2022.Accommodation.Total</v>
      </c>
      <c r="D607" s="530" t="s">
        <v>242</v>
      </c>
      <c r="E607" s="530" t="s">
        <v>23</v>
      </c>
      <c r="F607" s="530" t="s">
        <v>54</v>
      </c>
      <c r="G607" s="530" t="s">
        <v>54</v>
      </c>
      <c r="H607" s="530">
        <v>16316.700694405274</v>
      </c>
      <c r="I607" s="530">
        <v>16721.514520509918</v>
      </c>
      <c r="J607" s="530">
        <v>52658.306543139865</v>
      </c>
      <c r="K607" s="530">
        <v>59255.195529563738</v>
      </c>
      <c r="L607" s="530">
        <v>59053.603467816283</v>
      </c>
      <c r="M607" s="530">
        <v>59388.578930221222</v>
      </c>
      <c r="N607" s="530">
        <v>59283.630902560668</v>
      </c>
      <c r="O607" s="530">
        <v>59272.11432069468</v>
      </c>
      <c r="P607" s="530">
        <v>59783.156939593864</v>
      </c>
      <c r="Q607" s="530">
        <v>59781.145023941302</v>
      </c>
      <c r="R607" s="530">
        <v>39959.858853130056</v>
      </c>
      <c r="S607" s="530">
        <v>19711.023569890574</v>
      </c>
      <c r="T607" s="530">
        <v>59783.156939593864</v>
      </c>
      <c r="U607" s="530" t="s">
        <v>58</v>
      </c>
    </row>
    <row r="608" spans="1:21" ht="13.8" x14ac:dyDescent="0.3">
      <c r="A608" s="530" t="str">
        <f t="shared" si="18"/>
        <v>Conwy.2022.Economic Impact.Total</v>
      </c>
      <c r="B608" s="530" t="s">
        <v>219</v>
      </c>
      <c r="C608" s="530" t="str">
        <f t="shared" si="19"/>
        <v>2022.Economic Impact.Total</v>
      </c>
      <c r="D608" s="530" t="s">
        <v>242</v>
      </c>
      <c r="E608" s="530" t="s">
        <v>17</v>
      </c>
      <c r="F608" s="530" t="s">
        <v>54</v>
      </c>
      <c r="G608" s="530" t="s">
        <v>54</v>
      </c>
      <c r="H608" s="530">
        <v>22070.843513455769</v>
      </c>
      <c r="I608" s="530">
        <v>35253.493263094322</v>
      </c>
      <c r="J608" s="530">
        <v>66624.610997233685</v>
      </c>
      <c r="K608" s="530">
        <v>113354.86021020706</v>
      </c>
      <c r="L608" s="530">
        <v>120362.81761729567</v>
      </c>
      <c r="M608" s="530">
        <v>124179.24312954134</v>
      </c>
      <c r="N608" s="530">
        <v>168128.43522534386</v>
      </c>
      <c r="O608" s="530">
        <v>179404.02984765085</v>
      </c>
      <c r="P608" s="530">
        <v>116874.58782432589</v>
      </c>
      <c r="Q608" s="530">
        <v>82512.750793161569</v>
      </c>
      <c r="R608" s="530">
        <v>43238.326658979167</v>
      </c>
      <c r="S608" s="530">
        <v>25750.542571062844</v>
      </c>
      <c r="T608" s="530">
        <v>1097754.5416513521</v>
      </c>
      <c r="U608" s="530" t="s">
        <v>57</v>
      </c>
    </row>
    <row r="609" spans="1:21" ht="13.8" x14ac:dyDescent="0.3">
      <c r="A609" s="530" t="str">
        <f t="shared" si="18"/>
        <v>Conwy.2011.Accommodation - Establishments.Serviced Accommodation 1</v>
      </c>
      <c r="B609" s="530" t="s">
        <v>219</v>
      </c>
      <c r="C609" s="530" t="str">
        <f t="shared" si="19"/>
        <v>2011.Accommodation - Establishments.Serviced Accommodation 1</v>
      </c>
      <c r="D609" s="530" t="s">
        <v>220</v>
      </c>
      <c r="E609" s="530" t="s">
        <v>150</v>
      </c>
      <c r="F609" s="530" t="s">
        <v>151</v>
      </c>
      <c r="G609" s="530" t="s">
        <v>221</v>
      </c>
      <c r="H609" s="530"/>
      <c r="I609" s="530"/>
      <c r="J609" s="530"/>
      <c r="K609" s="530"/>
      <c r="L609" s="530"/>
      <c r="M609" s="530"/>
      <c r="N609" s="530"/>
      <c r="O609" s="530"/>
      <c r="P609" s="530"/>
      <c r="Q609" s="530"/>
      <c r="R609" s="530"/>
      <c r="S609" s="530"/>
      <c r="T609" s="530">
        <v>25</v>
      </c>
      <c r="U609" s="530" t="s">
        <v>149</v>
      </c>
    </row>
    <row r="610" spans="1:21" ht="13.8" x14ac:dyDescent="0.3">
      <c r="A610" s="530" t="str">
        <f t="shared" si="18"/>
        <v>Conwy.2011.Accommodation - Establishments.Serviced Accommodation 2</v>
      </c>
      <c r="B610" s="530" t="s">
        <v>219</v>
      </c>
      <c r="C610" s="530" t="str">
        <f t="shared" si="19"/>
        <v>2011.Accommodation - Establishments.Serviced Accommodation 2</v>
      </c>
      <c r="D610" s="530" t="s">
        <v>220</v>
      </c>
      <c r="E610" s="530" t="s">
        <v>150</v>
      </c>
      <c r="F610" s="530" t="s">
        <v>152</v>
      </c>
      <c r="G610" s="530" t="s">
        <v>222</v>
      </c>
      <c r="H610" s="530"/>
      <c r="I610" s="530"/>
      <c r="J610" s="530"/>
      <c r="K610" s="530"/>
      <c r="L610" s="530"/>
      <c r="M610" s="530"/>
      <c r="N610" s="530"/>
      <c r="O610" s="530"/>
      <c r="P610" s="530"/>
      <c r="Q610" s="530"/>
      <c r="R610" s="530"/>
      <c r="S610" s="530"/>
      <c r="T610" s="530">
        <v>113</v>
      </c>
      <c r="U610" s="530" t="s">
        <v>149</v>
      </c>
    </row>
    <row r="611" spans="1:21" ht="13.8" x14ac:dyDescent="0.3">
      <c r="A611" s="530" t="str">
        <f t="shared" si="18"/>
        <v>Conwy.2011.Accommodation - Establishments.Serviced Accommodation 3</v>
      </c>
      <c r="B611" s="530" t="s">
        <v>219</v>
      </c>
      <c r="C611" s="530" t="str">
        <f t="shared" si="19"/>
        <v>2011.Accommodation - Establishments.Serviced Accommodation 3</v>
      </c>
      <c r="D611" s="530" t="s">
        <v>220</v>
      </c>
      <c r="E611" s="530" t="s">
        <v>150</v>
      </c>
      <c r="F611" s="530" t="s">
        <v>153</v>
      </c>
      <c r="G611" s="530" t="s">
        <v>223</v>
      </c>
      <c r="H611" s="530"/>
      <c r="I611" s="530"/>
      <c r="J611" s="530"/>
      <c r="K611" s="530"/>
      <c r="L611" s="530"/>
      <c r="M611" s="530"/>
      <c r="N611" s="530"/>
      <c r="O611" s="530"/>
      <c r="P611" s="530"/>
      <c r="Q611" s="530"/>
      <c r="R611" s="530"/>
      <c r="S611" s="530"/>
      <c r="T611" s="530">
        <v>306</v>
      </c>
      <c r="U611" s="530" t="s">
        <v>149</v>
      </c>
    </row>
    <row r="612" spans="1:21" ht="13.8" x14ac:dyDescent="0.3">
      <c r="A612" s="530" t="str">
        <f t="shared" si="18"/>
        <v>Conwy.2011.Accommodation - Establishments.Serviced Accommodation 4</v>
      </c>
      <c r="B612" s="530" t="s">
        <v>219</v>
      </c>
      <c r="C612" s="530" t="str">
        <f t="shared" si="19"/>
        <v>2011.Accommodation - Establishments.Serviced Accommodation 4</v>
      </c>
      <c r="D612" s="530" t="s">
        <v>220</v>
      </c>
      <c r="E612" s="530" t="s">
        <v>150</v>
      </c>
      <c r="F612" s="530" t="s">
        <v>154</v>
      </c>
      <c r="G612" s="530" t="s">
        <v>224</v>
      </c>
      <c r="H612" s="530"/>
      <c r="I612" s="530"/>
      <c r="J612" s="530"/>
      <c r="K612" s="530"/>
      <c r="L612" s="530"/>
      <c r="M612" s="530"/>
      <c r="N612" s="530"/>
      <c r="O612" s="530"/>
      <c r="P612" s="530"/>
      <c r="Q612" s="530"/>
      <c r="R612" s="530"/>
      <c r="S612" s="530"/>
      <c r="T612" s="530" t="s">
        <v>224</v>
      </c>
      <c r="U612" s="530" t="s">
        <v>149</v>
      </c>
    </row>
    <row r="613" spans="1:21" ht="13.8" x14ac:dyDescent="0.3">
      <c r="A613" s="530" t="str">
        <f t="shared" si="18"/>
        <v>Conwy.2011.Accommodation - Establishments.Serviced Accommodation 5</v>
      </c>
      <c r="B613" s="530" t="s">
        <v>219</v>
      </c>
      <c r="C613" s="530" t="str">
        <f t="shared" si="19"/>
        <v>2011.Accommodation - Establishments.Serviced Accommodation 5</v>
      </c>
      <c r="D613" s="530" t="s">
        <v>220</v>
      </c>
      <c r="E613" s="530" t="s">
        <v>150</v>
      </c>
      <c r="F613" s="530" t="s">
        <v>155</v>
      </c>
      <c r="G613" s="530" t="s">
        <v>224</v>
      </c>
      <c r="H613" s="530"/>
      <c r="I613" s="530"/>
      <c r="J613" s="530"/>
      <c r="K613" s="530"/>
      <c r="L613" s="530"/>
      <c r="M613" s="530"/>
      <c r="N613" s="530"/>
      <c r="O613" s="530"/>
      <c r="P613" s="530"/>
      <c r="Q613" s="530"/>
      <c r="R613" s="530"/>
      <c r="S613" s="530"/>
      <c r="T613" s="530" t="s">
        <v>224</v>
      </c>
      <c r="U613" s="530" t="s">
        <v>149</v>
      </c>
    </row>
    <row r="614" spans="1:21" ht="15" customHeight="1" x14ac:dyDescent="0.3">
      <c r="A614" s="530" t="str">
        <f t="shared" si="18"/>
        <v>Conwy.2011.Accommodation - Establishments.Serviced Accommodation Total</v>
      </c>
      <c r="B614" s="530" t="s">
        <v>219</v>
      </c>
      <c r="C614" s="530" t="str">
        <f t="shared" si="19"/>
        <v>2011.Accommodation - Establishments.Serviced Accommodation Total</v>
      </c>
      <c r="D614" s="530" t="s">
        <v>220</v>
      </c>
      <c r="E614" s="530" t="s">
        <v>150</v>
      </c>
      <c r="F614" s="530" t="s">
        <v>161</v>
      </c>
      <c r="G614" s="530" t="s">
        <v>225</v>
      </c>
      <c r="H614" s="530"/>
      <c r="I614" s="530"/>
      <c r="J614" s="530"/>
      <c r="K614" s="530"/>
      <c r="L614" s="530"/>
      <c r="M614" s="530"/>
      <c r="N614" s="530"/>
      <c r="O614" s="530"/>
      <c r="P614" s="530"/>
      <c r="Q614" s="530"/>
      <c r="R614" s="530"/>
      <c r="S614" s="530"/>
      <c r="T614" s="530">
        <v>444</v>
      </c>
      <c r="U614" s="530" t="s">
        <v>149</v>
      </c>
    </row>
    <row r="615" spans="1:21" ht="15" customHeight="1" x14ac:dyDescent="0.3">
      <c r="A615" s="530" t="str">
        <f t="shared" si="18"/>
        <v>Conwy.2011.Accommodation - Establishments.Non-Serviced Accommodation 1</v>
      </c>
      <c r="B615" s="530" t="s">
        <v>219</v>
      </c>
      <c r="C615" s="530" t="str">
        <f t="shared" si="19"/>
        <v>2011.Accommodation - Establishments.Non-Serviced Accommodation 1</v>
      </c>
      <c r="D615" s="530" t="s">
        <v>220</v>
      </c>
      <c r="E615" s="530" t="s">
        <v>150</v>
      </c>
      <c r="F615" s="530" t="s">
        <v>156</v>
      </c>
      <c r="G615" s="530" t="s">
        <v>226</v>
      </c>
      <c r="H615" s="530"/>
      <c r="I615" s="530"/>
      <c r="J615" s="530"/>
      <c r="K615" s="530"/>
      <c r="L615" s="530"/>
      <c r="M615" s="530"/>
      <c r="N615" s="530"/>
      <c r="O615" s="530"/>
      <c r="P615" s="530"/>
      <c r="Q615" s="530"/>
      <c r="R615" s="530"/>
      <c r="S615" s="530"/>
      <c r="T615" s="530">
        <v>289</v>
      </c>
      <c r="U615" s="530" t="s">
        <v>149</v>
      </c>
    </row>
    <row r="616" spans="1:21" ht="15" customHeight="1" x14ac:dyDescent="0.3">
      <c r="A616" s="530" t="str">
        <f t="shared" si="18"/>
        <v>Conwy.2011.Accommodation - Establishments.Non-Serviced Accommodation 2</v>
      </c>
      <c r="B616" s="530" t="s">
        <v>219</v>
      </c>
      <c r="C616" s="530" t="str">
        <f t="shared" si="19"/>
        <v>2011.Accommodation - Establishments.Non-Serviced Accommodation 2</v>
      </c>
      <c r="D616" s="530" t="s">
        <v>220</v>
      </c>
      <c r="E616" s="530" t="s">
        <v>150</v>
      </c>
      <c r="F616" s="530" t="s">
        <v>157</v>
      </c>
      <c r="G616" s="530" t="s">
        <v>227</v>
      </c>
      <c r="H616" s="530"/>
      <c r="I616" s="530"/>
      <c r="J616" s="530"/>
      <c r="K616" s="530"/>
      <c r="L616" s="530"/>
      <c r="M616" s="530"/>
      <c r="N616" s="530"/>
      <c r="O616" s="530"/>
      <c r="P616" s="530"/>
      <c r="Q616" s="530"/>
      <c r="R616" s="530"/>
      <c r="S616" s="530"/>
      <c r="T616" s="530">
        <v>104</v>
      </c>
      <c r="U616" s="530" t="s">
        <v>149</v>
      </c>
    </row>
    <row r="617" spans="1:21" ht="15" customHeight="1" x14ac:dyDescent="0.3">
      <c r="A617" s="530" t="str">
        <f t="shared" si="18"/>
        <v>Conwy.2011.Accommodation - Establishments.Non-Serviced Accommodation 3</v>
      </c>
      <c r="B617" s="530" t="s">
        <v>219</v>
      </c>
      <c r="C617" s="530" t="str">
        <f t="shared" si="19"/>
        <v>2011.Accommodation - Establishments.Non-Serviced Accommodation 3</v>
      </c>
      <c r="D617" s="530" t="s">
        <v>220</v>
      </c>
      <c r="E617" s="530" t="s">
        <v>150</v>
      </c>
      <c r="F617" s="530" t="s">
        <v>158</v>
      </c>
      <c r="G617" s="530" t="s">
        <v>228</v>
      </c>
      <c r="H617" s="530"/>
      <c r="I617" s="530"/>
      <c r="J617" s="530"/>
      <c r="K617" s="530"/>
      <c r="L617" s="530"/>
      <c r="M617" s="530"/>
      <c r="N617" s="530"/>
      <c r="O617" s="530"/>
      <c r="P617" s="530"/>
      <c r="Q617" s="530"/>
      <c r="R617" s="530"/>
      <c r="S617" s="530"/>
      <c r="T617" s="530">
        <v>51</v>
      </c>
      <c r="U617" s="530" t="s">
        <v>149</v>
      </c>
    </row>
    <row r="618" spans="1:21" ht="15" customHeight="1" x14ac:dyDescent="0.3">
      <c r="A618" s="530" t="str">
        <f t="shared" si="18"/>
        <v>Conwy.2011.Accommodation - Establishments.Non-Serviced Accommodation 4</v>
      </c>
      <c r="B618" s="530" t="s">
        <v>219</v>
      </c>
      <c r="C618" s="530" t="str">
        <f t="shared" si="19"/>
        <v>2011.Accommodation - Establishments.Non-Serviced Accommodation 4</v>
      </c>
      <c r="D618" s="530" t="s">
        <v>220</v>
      </c>
      <c r="E618" s="530" t="s">
        <v>150</v>
      </c>
      <c r="F618" s="530" t="s">
        <v>159</v>
      </c>
      <c r="G618" s="530" t="s">
        <v>229</v>
      </c>
      <c r="H618" s="530"/>
      <c r="I618" s="530"/>
      <c r="J618" s="530"/>
      <c r="K618" s="530"/>
      <c r="L618" s="530"/>
      <c r="M618" s="530"/>
      <c r="N618" s="530"/>
      <c r="O618" s="530"/>
      <c r="P618" s="530"/>
      <c r="Q618" s="530"/>
      <c r="R618" s="530"/>
      <c r="S618" s="530"/>
      <c r="T618" s="530">
        <v>0</v>
      </c>
      <c r="U618" s="530" t="s">
        <v>149</v>
      </c>
    </row>
    <row r="619" spans="1:21" ht="15" customHeight="1" x14ac:dyDescent="0.3">
      <c r="A619" s="530" t="str">
        <f t="shared" si="18"/>
        <v>Conwy.2011.Accommodation - Establishments.Non-Serviced Accommodation 5</v>
      </c>
      <c r="B619" s="530" t="s">
        <v>219</v>
      </c>
      <c r="C619" s="530" t="str">
        <f t="shared" si="19"/>
        <v>2011.Accommodation - Establishments.Non-Serviced Accommodation 5</v>
      </c>
      <c r="D619" s="530" t="s">
        <v>220</v>
      </c>
      <c r="E619" s="530" t="s">
        <v>150</v>
      </c>
      <c r="F619" s="530" t="s">
        <v>160</v>
      </c>
      <c r="G619" s="530" t="s">
        <v>224</v>
      </c>
      <c r="H619" s="530"/>
      <c r="I619" s="530"/>
      <c r="J619" s="530"/>
      <c r="K619" s="530"/>
      <c r="L619" s="530"/>
      <c r="M619" s="530"/>
      <c r="N619" s="530"/>
      <c r="O619" s="530"/>
      <c r="P619" s="530"/>
      <c r="Q619" s="530"/>
      <c r="R619" s="530"/>
      <c r="S619" s="530"/>
      <c r="T619" s="530" t="s">
        <v>224</v>
      </c>
      <c r="U619" s="530" t="s">
        <v>149</v>
      </c>
    </row>
    <row r="620" spans="1:21" ht="15" customHeight="1" x14ac:dyDescent="0.3">
      <c r="A620" s="530" t="str">
        <f t="shared" si="18"/>
        <v>Conwy.2011.Accommodation - Establishments.Non-Serviced Accommodation Total</v>
      </c>
      <c r="B620" s="530" t="s">
        <v>219</v>
      </c>
      <c r="C620" s="530" t="str">
        <f t="shared" si="19"/>
        <v>2011.Accommodation - Establishments.Non-Serviced Accommodation Total</v>
      </c>
      <c r="D620" s="530" t="s">
        <v>220</v>
      </c>
      <c r="E620" s="530" t="s">
        <v>150</v>
      </c>
      <c r="F620" s="530" t="s">
        <v>162</v>
      </c>
      <c r="G620" s="530" t="s">
        <v>230</v>
      </c>
      <c r="H620" s="530"/>
      <c r="I620" s="530"/>
      <c r="J620" s="530"/>
      <c r="K620" s="530"/>
      <c r="L620" s="530"/>
      <c r="M620" s="530"/>
      <c r="N620" s="530"/>
      <c r="O620" s="530"/>
      <c r="P620" s="530"/>
      <c r="Q620" s="530"/>
      <c r="R620" s="530"/>
      <c r="S620" s="530"/>
      <c r="T620" s="530">
        <v>444</v>
      </c>
      <c r="U620" s="530" t="s">
        <v>149</v>
      </c>
    </row>
    <row r="621" spans="1:21" ht="15" customHeight="1" x14ac:dyDescent="0.3">
      <c r="A621" s="530" t="str">
        <f t="shared" si="18"/>
        <v>Conwy.2011.Accommodation - Establishments.All Accommodation Types</v>
      </c>
      <c r="B621" s="530" t="s">
        <v>219</v>
      </c>
      <c r="C621" s="530" t="str">
        <f t="shared" si="19"/>
        <v>2011.Accommodation - Establishments.All Accommodation Types</v>
      </c>
      <c r="D621" s="530" t="s">
        <v>220</v>
      </c>
      <c r="E621" s="530" t="s">
        <v>150</v>
      </c>
      <c r="F621" s="530" t="s">
        <v>163</v>
      </c>
      <c r="G621" s="530" t="s">
        <v>38</v>
      </c>
      <c r="H621" s="530"/>
      <c r="I621" s="530"/>
      <c r="J621" s="530"/>
      <c r="K621" s="530"/>
      <c r="L621" s="530"/>
      <c r="M621" s="530"/>
      <c r="N621" s="530"/>
      <c r="O621" s="530"/>
      <c r="P621" s="530"/>
      <c r="Q621" s="530"/>
      <c r="R621" s="530"/>
      <c r="S621" s="530"/>
      <c r="T621" s="530">
        <v>888</v>
      </c>
      <c r="U621" s="530" t="s">
        <v>149</v>
      </c>
    </row>
    <row r="622" spans="1:21" ht="13.8" x14ac:dyDescent="0.3">
      <c r="A622" s="530" t="str">
        <f t="shared" si="18"/>
        <v>Conwy.2011.Accommodation - Bed Spaces.Serviced Accommodation 1</v>
      </c>
      <c r="B622" s="530" t="s">
        <v>219</v>
      </c>
      <c r="C622" s="530" t="str">
        <f t="shared" si="19"/>
        <v>2011.Accommodation - Bed Spaces.Serviced Accommodation 1</v>
      </c>
      <c r="D622" s="530" t="s">
        <v>220</v>
      </c>
      <c r="E622" s="530" t="s">
        <v>164</v>
      </c>
      <c r="F622" s="530" t="s">
        <v>151</v>
      </c>
      <c r="G622" s="530" t="s">
        <v>221</v>
      </c>
      <c r="H622" s="530"/>
      <c r="I622" s="530"/>
      <c r="J622" s="530"/>
      <c r="K622" s="530"/>
      <c r="L622" s="530"/>
      <c r="M622" s="530"/>
      <c r="N622" s="530"/>
      <c r="O622" s="530"/>
      <c r="P622" s="530"/>
      <c r="Q622" s="530"/>
      <c r="R622" s="530"/>
      <c r="S622" s="530"/>
      <c r="T622" s="530">
        <v>3860</v>
      </c>
      <c r="U622" s="530" t="s">
        <v>58</v>
      </c>
    </row>
    <row r="623" spans="1:21" ht="13.8" x14ac:dyDescent="0.3">
      <c r="A623" s="530" t="str">
        <f t="shared" si="18"/>
        <v>Conwy.2011.Accommodation - Bed Spaces.Serviced Accommodation 2</v>
      </c>
      <c r="B623" s="530" t="s">
        <v>219</v>
      </c>
      <c r="C623" s="530" t="str">
        <f t="shared" si="19"/>
        <v>2011.Accommodation - Bed Spaces.Serviced Accommodation 2</v>
      </c>
      <c r="D623" s="530" t="s">
        <v>220</v>
      </c>
      <c r="E623" s="530" t="s">
        <v>164</v>
      </c>
      <c r="F623" s="530" t="s">
        <v>152</v>
      </c>
      <c r="G623" s="530" t="s">
        <v>222</v>
      </c>
      <c r="H623" s="530"/>
      <c r="I623" s="530"/>
      <c r="J623" s="530"/>
      <c r="K623" s="530"/>
      <c r="L623" s="530"/>
      <c r="M623" s="530"/>
      <c r="N623" s="530"/>
      <c r="O623" s="530"/>
      <c r="P623" s="530"/>
      <c r="Q623" s="530"/>
      <c r="R623" s="530"/>
      <c r="S623" s="530"/>
      <c r="T623" s="530">
        <v>4797</v>
      </c>
      <c r="U623" s="530" t="s">
        <v>58</v>
      </c>
    </row>
    <row r="624" spans="1:21" ht="13.8" x14ac:dyDescent="0.3">
      <c r="A624" s="530" t="str">
        <f t="shared" si="18"/>
        <v>Conwy.2011.Accommodation - Bed Spaces.Serviced Accommodation 3</v>
      </c>
      <c r="B624" s="530" t="s">
        <v>219</v>
      </c>
      <c r="C624" s="530" t="str">
        <f t="shared" si="19"/>
        <v>2011.Accommodation - Bed Spaces.Serviced Accommodation 3</v>
      </c>
      <c r="D624" s="530" t="s">
        <v>220</v>
      </c>
      <c r="E624" s="530" t="s">
        <v>164</v>
      </c>
      <c r="F624" s="530" t="s">
        <v>153</v>
      </c>
      <c r="G624" s="530" t="s">
        <v>223</v>
      </c>
      <c r="H624" s="530"/>
      <c r="I624" s="530"/>
      <c r="J624" s="530"/>
      <c r="K624" s="530"/>
      <c r="L624" s="530"/>
      <c r="M624" s="530"/>
      <c r="N624" s="530"/>
      <c r="O624" s="530"/>
      <c r="P624" s="530"/>
      <c r="Q624" s="530"/>
      <c r="R624" s="530"/>
      <c r="S624" s="530"/>
      <c r="T624" s="530">
        <v>3573</v>
      </c>
      <c r="U624" s="530" t="s">
        <v>58</v>
      </c>
    </row>
    <row r="625" spans="1:21" ht="13.8" x14ac:dyDescent="0.3">
      <c r="A625" s="530" t="str">
        <f t="shared" si="18"/>
        <v>Conwy.2011.Accommodation - Bed Spaces.Serviced Accommodation 4</v>
      </c>
      <c r="B625" s="530" t="s">
        <v>219</v>
      </c>
      <c r="C625" s="530" t="str">
        <f t="shared" si="19"/>
        <v>2011.Accommodation - Bed Spaces.Serviced Accommodation 4</v>
      </c>
      <c r="D625" s="530" t="s">
        <v>220</v>
      </c>
      <c r="E625" s="530" t="s">
        <v>164</v>
      </c>
      <c r="F625" s="530" t="s">
        <v>154</v>
      </c>
      <c r="G625" s="530" t="s">
        <v>224</v>
      </c>
      <c r="H625" s="530"/>
      <c r="I625" s="530"/>
      <c r="J625" s="530"/>
      <c r="K625" s="530"/>
      <c r="L625" s="530"/>
      <c r="M625" s="530"/>
      <c r="N625" s="530"/>
      <c r="O625" s="530"/>
      <c r="P625" s="530"/>
      <c r="Q625" s="530"/>
      <c r="R625" s="530"/>
      <c r="S625" s="530"/>
      <c r="T625" s="530" t="s">
        <v>224</v>
      </c>
      <c r="U625" s="530" t="s">
        <v>58</v>
      </c>
    </row>
    <row r="626" spans="1:21" ht="13.8" x14ac:dyDescent="0.3">
      <c r="A626" s="530" t="str">
        <f t="shared" si="18"/>
        <v>Conwy.2011.Accommodation - Bed Spaces.Serviced Accommodation 5</v>
      </c>
      <c r="B626" s="530" t="s">
        <v>219</v>
      </c>
      <c r="C626" s="530" t="str">
        <f t="shared" si="19"/>
        <v>2011.Accommodation - Bed Spaces.Serviced Accommodation 5</v>
      </c>
      <c r="D626" s="530" t="s">
        <v>220</v>
      </c>
      <c r="E626" s="530" t="s">
        <v>164</v>
      </c>
      <c r="F626" s="530" t="s">
        <v>155</v>
      </c>
      <c r="G626" s="530" t="s">
        <v>224</v>
      </c>
      <c r="H626" s="530"/>
      <c r="I626" s="530"/>
      <c r="J626" s="530"/>
      <c r="K626" s="530"/>
      <c r="L626" s="530"/>
      <c r="M626" s="530"/>
      <c r="N626" s="530"/>
      <c r="O626" s="530"/>
      <c r="P626" s="530"/>
      <c r="Q626" s="530"/>
      <c r="R626" s="530"/>
      <c r="S626" s="530"/>
      <c r="T626" s="530" t="s">
        <v>224</v>
      </c>
      <c r="U626" s="530" t="s">
        <v>58</v>
      </c>
    </row>
    <row r="627" spans="1:21" ht="13.8" x14ac:dyDescent="0.3">
      <c r="A627" s="530" t="str">
        <f t="shared" si="18"/>
        <v>Conwy.2011.Accommodation - Bed Spaces.Serviced Accommodation Total</v>
      </c>
      <c r="B627" s="530" t="s">
        <v>219</v>
      </c>
      <c r="C627" s="530" t="str">
        <f t="shared" si="19"/>
        <v>2011.Accommodation - Bed Spaces.Serviced Accommodation Total</v>
      </c>
      <c r="D627" s="530" t="s">
        <v>220</v>
      </c>
      <c r="E627" s="530" t="s">
        <v>164</v>
      </c>
      <c r="F627" s="530" t="s">
        <v>161</v>
      </c>
      <c r="G627" s="530" t="s">
        <v>225</v>
      </c>
      <c r="H627" s="530"/>
      <c r="I627" s="530"/>
      <c r="J627" s="530"/>
      <c r="K627" s="530"/>
      <c r="L627" s="530"/>
      <c r="M627" s="530"/>
      <c r="N627" s="530"/>
      <c r="O627" s="530"/>
      <c r="P627" s="530"/>
      <c r="Q627" s="530"/>
      <c r="R627" s="530"/>
      <c r="S627" s="530"/>
      <c r="T627" s="530">
        <v>12230</v>
      </c>
      <c r="U627" s="530" t="s">
        <v>58</v>
      </c>
    </row>
    <row r="628" spans="1:21" ht="13.8" x14ac:dyDescent="0.3">
      <c r="A628" s="530" t="str">
        <f t="shared" si="18"/>
        <v>Conwy.2011.Accommodation - Bed Spaces.Non-Serviced Accommodation 1</v>
      </c>
      <c r="B628" s="530" t="s">
        <v>219</v>
      </c>
      <c r="C628" s="530" t="str">
        <f t="shared" si="19"/>
        <v>2011.Accommodation - Bed Spaces.Non-Serviced Accommodation 1</v>
      </c>
      <c r="D628" s="530" t="s">
        <v>220</v>
      </c>
      <c r="E628" s="530" t="s">
        <v>164</v>
      </c>
      <c r="F628" s="530" t="s">
        <v>156</v>
      </c>
      <c r="G628" s="530" t="s">
        <v>226</v>
      </c>
      <c r="H628" s="530"/>
      <c r="I628" s="530"/>
      <c r="J628" s="530"/>
      <c r="K628" s="530"/>
      <c r="L628" s="530"/>
      <c r="M628" s="530"/>
      <c r="N628" s="530"/>
      <c r="O628" s="530"/>
      <c r="P628" s="530"/>
      <c r="Q628" s="530"/>
      <c r="R628" s="530"/>
      <c r="S628" s="530"/>
      <c r="T628" s="530">
        <v>2903</v>
      </c>
      <c r="U628" s="530" t="s">
        <v>58</v>
      </c>
    </row>
    <row r="629" spans="1:21" ht="13.8" x14ac:dyDescent="0.3">
      <c r="A629" s="530" t="str">
        <f t="shared" si="18"/>
        <v>Conwy.2011.Accommodation - Bed Spaces.Non-Serviced Accommodation 2</v>
      </c>
      <c r="B629" s="530" t="s">
        <v>219</v>
      </c>
      <c r="C629" s="530" t="str">
        <f t="shared" si="19"/>
        <v>2011.Accommodation - Bed Spaces.Non-Serviced Accommodation 2</v>
      </c>
      <c r="D629" s="530" t="s">
        <v>220</v>
      </c>
      <c r="E629" s="530" t="s">
        <v>164</v>
      </c>
      <c r="F629" s="530" t="s">
        <v>157</v>
      </c>
      <c r="G629" s="530" t="s">
        <v>227</v>
      </c>
      <c r="H629" s="530"/>
      <c r="I629" s="530"/>
      <c r="J629" s="530"/>
      <c r="K629" s="530"/>
      <c r="L629" s="530"/>
      <c r="M629" s="530"/>
      <c r="N629" s="530"/>
      <c r="O629" s="530"/>
      <c r="P629" s="530"/>
      <c r="Q629" s="530"/>
      <c r="R629" s="530"/>
      <c r="S629" s="530"/>
      <c r="T629" s="530">
        <v>5926.223553641641</v>
      </c>
      <c r="U629" s="530" t="s">
        <v>58</v>
      </c>
    </row>
    <row r="630" spans="1:21" ht="13.8" x14ac:dyDescent="0.3">
      <c r="A630" s="530" t="str">
        <f t="shared" si="18"/>
        <v>Conwy.2011.Accommodation - Bed Spaces.Non-Serviced Accommodation 3</v>
      </c>
      <c r="B630" s="530" t="s">
        <v>219</v>
      </c>
      <c r="C630" s="530" t="str">
        <f t="shared" si="19"/>
        <v>2011.Accommodation - Bed Spaces.Non-Serviced Accommodation 3</v>
      </c>
      <c r="D630" s="530" t="s">
        <v>220</v>
      </c>
      <c r="E630" s="530" t="s">
        <v>164</v>
      </c>
      <c r="F630" s="530" t="s">
        <v>158</v>
      </c>
      <c r="G630" s="530" t="s">
        <v>228</v>
      </c>
      <c r="H630" s="530"/>
      <c r="I630" s="530"/>
      <c r="J630" s="530"/>
      <c r="K630" s="530"/>
      <c r="L630" s="530"/>
      <c r="M630" s="530"/>
      <c r="N630" s="530"/>
      <c r="O630" s="530"/>
      <c r="P630" s="530"/>
      <c r="Q630" s="530"/>
      <c r="R630" s="530"/>
      <c r="S630" s="530"/>
      <c r="T630" s="530">
        <v>6549</v>
      </c>
      <c r="U630" s="530" t="s">
        <v>58</v>
      </c>
    </row>
    <row r="631" spans="1:21" ht="13.8" x14ac:dyDescent="0.3">
      <c r="A631" s="530" t="str">
        <f t="shared" si="18"/>
        <v>Conwy.2011.Accommodation - Bed Spaces.Non-Serviced Accommodation 4</v>
      </c>
      <c r="B631" s="530" t="s">
        <v>219</v>
      </c>
      <c r="C631" s="530" t="str">
        <f t="shared" si="19"/>
        <v>2011.Accommodation - Bed Spaces.Non-Serviced Accommodation 4</v>
      </c>
      <c r="D631" s="530" t="s">
        <v>220</v>
      </c>
      <c r="E631" s="530" t="s">
        <v>164</v>
      </c>
      <c r="F631" s="530" t="s">
        <v>159</v>
      </c>
      <c r="G631" s="530" t="s">
        <v>229</v>
      </c>
      <c r="H631" s="530"/>
      <c r="I631" s="530"/>
      <c r="J631" s="530"/>
      <c r="K631" s="530"/>
      <c r="L631" s="530"/>
      <c r="M631" s="530"/>
      <c r="N631" s="530"/>
      <c r="O631" s="530"/>
      <c r="P631" s="530"/>
      <c r="Q631" s="530"/>
      <c r="R631" s="530"/>
      <c r="S631" s="530"/>
      <c r="T631" s="530">
        <v>24546.214530049634</v>
      </c>
      <c r="U631" s="530" t="s">
        <v>58</v>
      </c>
    </row>
    <row r="632" spans="1:21" ht="13.8" x14ac:dyDescent="0.3">
      <c r="A632" s="530" t="str">
        <f t="shared" si="18"/>
        <v>Conwy.2011.Accommodation - Bed Spaces.Non-Serviced Accommodation 5</v>
      </c>
      <c r="B632" s="530" t="s">
        <v>219</v>
      </c>
      <c r="C632" s="530" t="str">
        <f t="shared" si="19"/>
        <v>2011.Accommodation - Bed Spaces.Non-Serviced Accommodation 5</v>
      </c>
      <c r="D632" s="530" t="s">
        <v>220</v>
      </c>
      <c r="E632" s="530" t="s">
        <v>164</v>
      </c>
      <c r="F632" s="530" t="s">
        <v>160</v>
      </c>
      <c r="G632" s="530" t="s">
        <v>224</v>
      </c>
      <c r="H632" s="530"/>
      <c r="I632" s="530"/>
      <c r="J632" s="530"/>
      <c r="K632" s="530"/>
      <c r="L632" s="530"/>
      <c r="M632" s="530"/>
      <c r="N632" s="530"/>
      <c r="O632" s="530"/>
      <c r="P632" s="530"/>
      <c r="Q632" s="530"/>
      <c r="R632" s="530"/>
      <c r="S632" s="530"/>
      <c r="T632" s="530" t="s">
        <v>224</v>
      </c>
      <c r="U632" s="530" t="s">
        <v>58</v>
      </c>
    </row>
    <row r="633" spans="1:21" ht="13.8" x14ac:dyDescent="0.3">
      <c r="A633" s="530" t="str">
        <f t="shared" si="18"/>
        <v>Conwy.2011.Accommodation - Bed Spaces.Non-Serviced Accommodation Total</v>
      </c>
      <c r="B633" s="530" t="s">
        <v>219</v>
      </c>
      <c r="C633" s="530" t="str">
        <f t="shared" si="19"/>
        <v>2011.Accommodation - Bed Spaces.Non-Serviced Accommodation Total</v>
      </c>
      <c r="D633" s="530" t="s">
        <v>220</v>
      </c>
      <c r="E633" s="530" t="s">
        <v>164</v>
      </c>
      <c r="F633" s="530" t="s">
        <v>162</v>
      </c>
      <c r="G633" s="530" t="s">
        <v>230</v>
      </c>
      <c r="H633" s="530"/>
      <c r="I633" s="530"/>
      <c r="J633" s="530"/>
      <c r="K633" s="530"/>
      <c r="L633" s="530"/>
      <c r="M633" s="530"/>
      <c r="N633" s="530"/>
      <c r="O633" s="530"/>
      <c r="P633" s="530"/>
      <c r="Q633" s="530"/>
      <c r="R633" s="530"/>
      <c r="S633" s="530"/>
      <c r="T633" s="530">
        <v>39924.438083691275</v>
      </c>
      <c r="U633" s="530" t="s">
        <v>58</v>
      </c>
    </row>
    <row r="634" spans="1:21" ht="13.8" x14ac:dyDescent="0.3">
      <c r="A634" s="530" t="str">
        <f t="shared" si="18"/>
        <v>Conwy.2011.Accommodation - Bed Spaces.All Accommodation Types</v>
      </c>
      <c r="B634" s="530" t="s">
        <v>219</v>
      </c>
      <c r="C634" s="530" t="str">
        <f t="shared" si="19"/>
        <v>2011.Accommodation - Bed Spaces.All Accommodation Types</v>
      </c>
      <c r="D634" s="530" t="s">
        <v>220</v>
      </c>
      <c r="E634" s="530" t="s">
        <v>164</v>
      </c>
      <c r="F634" s="530" t="s">
        <v>163</v>
      </c>
      <c r="G634" s="530" t="s">
        <v>38</v>
      </c>
      <c r="H634" s="530"/>
      <c r="I634" s="530"/>
      <c r="J634" s="530"/>
      <c r="K634" s="530"/>
      <c r="L634" s="530"/>
      <c r="M634" s="530"/>
      <c r="N634" s="530"/>
      <c r="O634" s="530"/>
      <c r="P634" s="530"/>
      <c r="Q634" s="530"/>
      <c r="R634" s="530"/>
      <c r="S634" s="530"/>
      <c r="T634" s="530">
        <v>52154.438083691275</v>
      </c>
      <c r="U634" s="530" t="s">
        <v>58</v>
      </c>
    </row>
    <row r="635" spans="1:21" ht="13.8" x14ac:dyDescent="0.3">
      <c r="A635" s="530" t="str">
        <f t="shared" si="18"/>
        <v>Conwy.2012.Accommodation - Establishments.Serviced Accommodation 1</v>
      </c>
      <c r="B635" s="530" t="s">
        <v>219</v>
      </c>
      <c r="C635" s="530" t="str">
        <f t="shared" si="19"/>
        <v>2012.Accommodation - Establishments.Serviced Accommodation 1</v>
      </c>
      <c r="D635" s="530" t="s">
        <v>231</v>
      </c>
      <c r="E635" s="530" t="s">
        <v>150</v>
      </c>
      <c r="F635" s="530" t="s">
        <v>151</v>
      </c>
      <c r="G635" s="530" t="s">
        <v>221</v>
      </c>
      <c r="H635" s="530"/>
      <c r="I635" s="530"/>
      <c r="J635" s="530"/>
      <c r="K635" s="530"/>
      <c r="L635" s="530"/>
      <c r="M635" s="530"/>
      <c r="N635" s="530"/>
      <c r="O635" s="530"/>
      <c r="P635" s="530"/>
      <c r="Q635" s="530"/>
      <c r="R635" s="530"/>
      <c r="S635" s="530"/>
      <c r="T635" s="530">
        <v>26</v>
      </c>
      <c r="U635" s="530" t="s">
        <v>149</v>
      </c>
    </row>
    <row r="636" spans="1:21" ht="13.8" x14ac:dyDescent="0.3">
      <c r="A636" s="530" t="str">
        <f t="shared" si="18"/>
        <v>Conwy.2012.Accommodation - Establishments.Serviced Accommodation 2</v>
      </c>
      <c r="B636" s="530" t="s">
        <v>219</v>
      </c>
      <c r="C636" s="530" t="str">
        <f t="shared" si="19"/>
        <v>2012.Accommodation - Establishments.Serviced Accommodation 2</v>
      </c>
      <c r="D636" s="530" t="s">
        <v>231</v>
      </c>
      <c r="E636" s="530" t="s">
        <v>150</v>
      </c>
      <c r="F636" s="530" t="s">
        <v>152</v>
      </c>
      <c r="G636" s="530" t="s">
        <v>222</v>
      </c>
      <c r="H636" s="530"/>
      <c r="I636" s="530"/>
      <c r="J636" s="530"/>
      <c r="K636" s="530"/>
      <c r="L636" s="530"/>
      <c r="M636" s="530"/>
      <c r="N636" s="530"/>
      <c r="O636" s="530"/>
      <c r="P636" s="530"/>
      <c r="Q636" s="530"/>
      <c r="R636" s="530"/>
      <c r="S636" s="530"/>
      <c r="T636" s="530">
        <v>104</v>
      </c>
      <c r="U636" s="530" t="s">
        <v>149</v>
      </c>
    </row>
    <row r="637" spans="1:21" ht="13.8" x14ac:dyDescent="0.3">
      <c r="A637" s="530" t="str">
        <f t="shared" si="18"/>
        <v>Conwy.2012.Accommodation - Establishments.Serviced Accommodation 3</v>
      </c>
      <c r="B637" s="530" t="s">
        <v>219</v>
      </c>
      <c r="C637" s="530" t="str">
        <f t="shared" si="19"/>
        <v>2012.Accommodation - Establishments.Serviced Accommodation 3</v>
      </c>
      <c r="D637" s="530" t="s">
        <v>231</v>
      </c>
      <c r="E637" s="530" t="s">
        <v>150</v>
      </c>
      <c r="F637" s="530" t="s">
        <v>153</v>
      </c>
      <c r="G637" s="530" t="s">
        <v>223</v>
      </c>
      <c r="H637" s="530"/>
      <c r="I637" s="530"/>
      <c r="J637" s="530"/>
      <c r="K637" s="530"/>
      <c r="L637" s="530"/>
      <c r="M637" s="530"/>
      <c r="N637" s="530"/>
      <c r="O637" s="530"/>
      <c r="P637" s="530"/>
      <c r="Q637" s="530"/>
      <c r="R637" s="530"/>
      <c r="S637" s="530"/>
      <c r="T637" s="530">
        <v>279</v>
      </c>
      <c r="U637" s="530" t="s">
        <v>149</v>
      </c>
    </row>
    <row r="638" spans="1:21" ht="13.8" x14ac:dyDescent="0.3">
      <c r="A638" s="530" t="str">
        <f t="shared" si="18"/>
        <v>Conwy.2012.Accommodation - Establishments.Serviced Accommodation 4</v>
      </c>
      <c r="B638" s="530" t="s">
        <v>219</v>
      </c>
      <c r="C638" s="530" t="str">
        <f t="shared" si="19"/>
        <v>2012.Accommodation - Establishments.Serviced Accommodation 4</v>
      </c>
      <c r="D638" s="530" t="s">
        <v>231</v>
      </c>
      <c r="E638" s="530" t="s">
        <v>150</v>
      </c>
      <c r="F638" s="530" t="s">
        <v>154</v>
      </c>
      <c r="G638" s="530" t="s">
        <v>224</v>
      </c>
      <c r="H638" s="530"/>
      <c r="I638" s="530"/>
      <c r="J638" s="530"/>
      <c r="K638" s="530"/>
      <c r="L638" s="530"/>
      <c r="M638" s="530"/>
      <c r="N638" s="530"/>
      <c r="O638" s="530"/>
      <c r="P638" s="530"/>
      <c r="Q638" s="530"/>
      <c r="R638" s="530"/>
      <c r="S638" s="530"/>
      <c r="T638" s="530" t="s">
        <v>224</v>
      </c>
      <c r="U638" s="530" t="s">
        <v>149</v>
      </c>
    </row>
    <row r="639" spans="1:21" ht="13.8" x14ac:dyDescent="0.3">
      <c r="A639" s="530" t="str">
        <f t="shared" si="18"/>
        <v>Conwy.2012.Accommodation - Establishments.Serviced Accommodation 5</v>
      </c>
      <c r="B639" s="530" t="s">
        <v>219</v>
      </c>
      <c r="C639" s="530" t="str">
        <f t="shared" si="19"/>
        <v>2012.Accommodation - Establishments.Serviced Accommodation 5</v>
      </c>
      <c r="D639" s="530" t="s">
        <v>231</v>
      </c>
      <c r="E639" s="530" t="s">
        <v>150</v>
      </c>
      <c r="F639" s="530" t="s">
        <v>155</v>
      </c>
      <c r="G639" s="530" t="s">
        <v>224</v>
      </c>
      <c r="H639" s="530"/>
      <c r="I639" s="530"/>
      <c r="J639" s="530"/>
      <c r="K639" s="530"/>
      <c r="L639" s="530"/>
      <c r="M639" s="530"/>
      <c r="N639" s="530"/>
      <c r="O639" s="530"/>
      <c r="P639" s="530"/>
      <c r="Q639" s="530"/>
      <c r="R639" s="530"/>
      <c r="S639" s="530"/>
      <c r="T639" s="530" t="s">
        <v>224</v>
      </c>
      <c r="U639" s="530" t="s">
        <v>149</v>
      </c>
    </row>
    <row r="640" spans="1:21" ht="15" customHeight="1" x14ac:dyDescent="0.3">
      <c r="A640" s="530" t="str">
        <f t="shared" si="18"/>
        <v>Conwy.2012.Accommodation - Establishments.Serviced Accommodation Total</v>
      </c>
      <c r="B640" s="530" t="s">
        <v>219</v>
      </c>
      <c r="C640" s="530" t="str">
        <f t="shared" si="19"/>
        <v>2012.Accommodation - Establishments.Serviced Accommodation Total</v>
      </c>
      <c r="D640" s="530" t="s">
        <v>231</v>
      </c>
      <c r="E640" s="530" t="s">
        <v>150</v>
      </c>
      <c r="F640" s="530" t="s">
        <v>161</v>
      </c>
      <c r="G640" s="530" t="s">
        <v>225</v>
      </c>
      <c r="H640" s="530"/>
      <c r="I640" s="530"/>
      <c r="J640" s="530"/>
      <c r="K640" s="530"/>
      <c r="L640" s="530"/>
      <c r="M640" s="530"/>
      <c r="N640" s="530"/>
      <c r="O640" s="530"/>
      <c r="P640" s="530"/>
      <c r="Q640" s="530"/>
      <c r="R640" s="530"/>
      <c r="S640" s="530"/>
      <c r="T640" s="530">
        <v>409</v>
      </c>
      <c r="U640" s="530" t="s">
        <v>149</v>
      </c>
    </row>
    <row r="641" spans="1:21" ht="15" customHeight="1" x14ac:dyDescent="0.3">
      <c r="A641" s="530" t="str">
        <f t="shared" si="18"/>
        <v>Conwy.2012.Accommodation - Establishments.Non-Serviced Accommodation 1</v>
      </c>
      <c r="B641" s="530" t="s">
        <v>219</v>
      </c>
      <c r="C641" s="530" t="str">
        <f t="shared" si="19"/>
        <v>2012.Accommodation - Establishments.Non-Serviced Accommodation 1</v>
      </c>
      <c r="D641" s="530" t="s">
        <v>231</v>
      </c>
      <c r="E641" s="530" t="s">
        <v>150</v>
      </c>
      <c r="F641" s="530" t="s">
        <v>156</v>
      </c>
      <c r="G641" s="530" t="s">
        <v>226</v>
      </c>
      <c r="H641" s="530"/>
      <c r="I641" s="530"/>
      <c r="J641" s="530"/>
      <c r="K641" s="530"/>
      <c r="L641" s="530"/>
      <c r="M641" s="530"/>
      <c r="N641" s="530"/>
      <c r="O641" s="530"/>
      <c r="P641" s="530"/>
      <c r="Q641" s="530"/>
      <c r="R641" s="530"/>
      <c r="S641" s="530"/>
      <c r="T641" s="530">
        <v>515</v>
      </c>
      <c r="U641" s="530" t="s">
        <v>149</v>
      </c>
    </row>
    <row r="642" spans="1:21" ht="15" customHeight="1" x14ac:dyDescent="0.3">
      <c r="A642" s="530" t="str">
        <f t="shared" si="18"/>
        <v>Conwy.2012.Accommodation - Establishments.Non-Serviced Accommodation 2</v>
      </c>
      <c r="B642" s="530" t="s">
        <v>219</v>
      </c>
      <c r="C642" s="530" t="str">
        <f t="shared" si="19"/>
        <v>2012.Accommodation - Establishments.Non-Serviced Accommodation 2</v>
      </c>
      <c r="D642" s="530" t="s">
        <v>231</v>
      </c>
      <c r="E642" s="530" t="s">
        <v>150</v>
      </c>
      <c r="F642" s="530" t="s">
        <v>157</v>
      </c>
      <c r="G642" s="530" t="s">
        <v>227</v>
      </c>
      <c r="H642" s="530"/>
      <c r="I642" s="530"/>
      <c r="J642" s="530"/>
      <c r="K642" s="530"/>
      <c r="L642" s="530"/>
      <c r="M642" s="530"/>
      <c r="N642" s="530"/>
      <c r="O642" s="530"/>
      <c r="P642" s="530"/>
      <c r="Q642" s="530"/>
      <c r="R642" s="530"/>
      <c r="S642" s="530"/>
      <c r="T642" s="530">
        <v>89</v>
      </c>
      <c r="U642" s="530" t="s">
        <v>149</v>
      </c>
    </row>
    <row r="643" spans="1:21" ht="15" customHeight="1" x14ac:dyDescent="0.3">
      <c r="A643" s="530" t="str">
        <f t="shared" si="18"/>
        <v>Conwy.2012.Accommodation - Establishments.Non-Serviced Accommodation 3</v>
      </c>
      <c r="B643" s="530" t="s">
        <v>219</v>
      </c>
      <c r="C643" s="530" t="str">
        <f t="shared" si="19"/>
        <v>2012.Accommodation - Establishments.Non-Serviced Accommodation 3</v>
      </c>
      <c r="D643" s="530" t="s">
        <v>231</v>
      </c>
      <c r="E643" s="530" t="s">
        <v>150</v>
      </c>
      <c r="F643" s="530" t="s">
        <v>158</v>
      </c>
      <c r="G643" s="530" t="s">
        <v>228</v>
      </c>
      <c r="H643" s="530"/>
      <c r="I643" s="530"/>
      <c r="J643" s="530"/>
      <c r="K643" s="530"/>
      <c r="L643" s="530"/>
      <c r="M643" s="530"/>
      <c r="N643" s="530"/>
      <c r="O643" s="530"/>
      <c r="P643" s="530"/>
      <c r="Q643" s="530"/>
      <c r="R643" s="530"/>
      <c r="S643" s="530"/>
      <c r="T643" s="530">
        <v>50</v>
      </c>
      <c r="U643" s="530" t="s">
        <v>149</v>
      </c>
    </row>
    <row r="644" spans="1:21" ht="15" customHeight="1" x14ac:dyDescent="0.3">
      <c r="A644" s="530" t="str">
        <f t="shared" si="18"/>
        <v>Conwy.2012.Accommodation - Establishments.Non-Serviced Accommodation 4</v>
      </c>
      <c r="B644" s="530" t="s">
        <v>219</v>
      </c>
      <c r="C644" s="530" t="str">
        <f t="shared" si="19"/>
        <v>2012.Accommodation - Establishments.Non-Serviced Accommodation 4</v>
      </c>
      <c r="D644" s="530" t="s">
        <v>231</v>
      </c>
      <c r="E644" s="530" t="s">
        <v>150</v>
      </c>
      <c r="F644" s="530" t="s">
        <v>159</v>
      </c>
      <c r="G644" s="530" t="s">
        <v>229</v>
      </c>
      <c r="H644" s="530"/>
      <c r="I644" s="530"/>
      <c r="J644" s="530"/>
      <c r="K644" s="530"/>
      <c r="L644" s="530"/>
      <c r="M644" s="530"/>
      <c r="N644" s="530"/>
      <c r="O644" s="530"/>
      <c r="P644" s="530"/>
      <c r="Q644" s="530"/>
      <c r="R644" s="530"/>
      <c r="S644" s="530"/>
      <c r="T644" s="530">
        <v>0</v>
      </c>
      <c r="U644" s="530" t="s">
        <v>149</v>
      </c>
    </row>
    <row r="645" spans="1:21" ht="15" customHeight="1" x14ac:dyDescent="0.3">
      <c r="A645" s="530" t="str">
        <f t="shared" si="18"/>
        <v>Conwy.2012.Accommodation - Establishments.Non-Serviced Accommodation 5</v>
      </c>
      <c r="B645" s="530" t="s">
        <v>219</v>
      </c>
      <c r="C645" s="530" t="str">
        <f t="shared" si="19"/>
        <v>2012.Accommodation - Establishments.Non-Serviced Accommodation 5</v>
      </c>
      <c r="D645" s="530" t="s">
        <v>231</v>
      </c>
      <c r="E645" s="530" t="s">
        <v>150</v>
      </c>
      <c r="F645" s="530" t="s">
        <v>160</v>
      </c>
      <c r="G645" s="530" t="s">
        <v>224</v>
      </c>
      <c r="H645" s="530"/>
      <c r="I645" s="530"/>
      <c r="J645" s="530"/>
      <c r="K645" s="530"/>
      <c r="L645" s="530"/>
      <c r="M645" s="530"/>
      <c r="N645" s="530"/>
      <c r="O645" s="530"/>
      <c r="P645" s="530"/>
      <c r="Q645" s="530"/>
      <c r="R645" s="530"/>
      <c r="S645" s="530"/>
      <c r="T645" s="530" t="s">
        <v>224</v>
      </c>
      <c r="U645" s="530" t="s">
        <v>149</v>
      </c>
    </row>
    <row r="646" spans="1:21" ht="15" customHeight="1" x14ac:dyDescent="0.3">
      <c r="A646" s="530" t="str">
        <f t="shared" si="18"/>
        <v>Conwy.2012.Accommodation - Establishments.Non-Serviced Accommodation Total</v>
      </c>
      <c r="B646" s="530" t="s">
        <v>219</v>
      </c>
      <c r="C646" s="530" t="str">
        <f t="shared" si="19"/>
        <v>2012.Accommodation - Establishments.Non-Serviced Accommodation Total</v>
      </c>
      <c r="D646" s="530" t="s">
        <v>231</v>
      </c>
      <c r="E646" s="530" t="s">
        <v>150</v>
      </c>
      <c r="F646" s="530" t="s">
        <v>162</v>
      </c>
      <c r="G646" s="530" t="s">
        <v>230</v>
      </c>
      <c r="H646" s="530"/>
      <c r="I646" s="530"/>
      <c r="J646" s="530"/>
      <c r="K646" s="530"/>
      <c r="L646" s="530"/>
      <c r="M646" s="530"/>
      <c r="N646" s="530"/>
      <c r="O646" s="530"/>
      <c r="P646" s="530"/>
      <c r="Q646" s="530"/>
      <c r="R646" s="530"/>
      <c r="S646" s="530"/>
      <c r="T646" s="530">
        <v>654</v>
      </c>
      <c r="U646" s="530" t="s">
        <v>149</v>
      </c>
    </row>
    <row r="647" spans="1:21" ht="15" customHeight="1" x14ac:dyDescent="0.3">
      <c r="A647" s="530" t="str">
        <f t="shared" si="18"/>
        <v>Conwy.2012.Accommodation - Establishments.All Accommodation Types</v>
      </c>
      <c r="B647" s="530" t="s">
        <v>219</v>
      </c>
      <c r="C647" s="530" t="str">
        <f t="shared" si="19"/>
        <v>2012.Accommodation - Establishments.All Accommodation Types</v>
      </c>
      <c r="D647" s="530" t="s">
        <v>231</v>
      </c>
      <c r="E647" s="530" t="s">
        <v>150</v>
      </c>
      <c r="F647" s="530" t="s">
        <v>163</v>
      </c>
      <c r="G647" s="530" t="s">
        <v>38</v>
      </c>
      <c r="H647" s="530"/>
      <c r="I647" s="530"/>
      <c r="J647" s="530"/>
      <c r="K647" s="530"/>
      <c r="L647" s="530"/>
      <c r="M647" s="530"/>
      <c r="N647" s="530"/>
      <c r="O647" s="530"/>
      <c r="P647" s="530"/>
      <c r="Q647" s="530"/>
      <c r="R647" s="530"/>
      <c r="S647" s="530"/>
      <c r="T647" s="530">
        <v>1063</v>
      </c>
      <c r="U647" s="530" t="s">
        <v>149</v>
      </c>
    </row>
    <row r="648" spans="1:21" ht="13.8" x14ac:dyDescent="0.3">
      <c r="A648" s="530" t="str">
        <f t="shared" si="18"/>
        <v>Conwy.2012.Accommodation - Bed Spaces.Serviced Accommodation 1</v>
      </c>
      <c r="B648" s="530" t="s">
        <v>219</v>
      </c>
      <c r="C648" s="530" t="str">
        <f t="shared" si="19"/>
        <v>2012.Accommodation - Bed Spaces.Serviced Accommodation 1</v>
      </c>
      <c r="D648" s="530" t="s">
        <v>231</v>
      </c>
      <c r="E648" s="530" t="s">
        <v>164</v>
      </c>
      <c r="F648" s="530" t="s">
        <v>151</v>
      </c>
      <c r="G648" s="530" t="s">
        <v>221</v>
      </c>
      <c r="H648" s="530"/>
      <c r="I648" s="530"/>
      <c r="J648" s="530"/>
      <c r="K648" s="530"/>
      <c r="L648" s="530"/>
      <c r="M648" s="530"/>
      <c r="N648" s="530"/>
      <c r="O648" s="530"/>
      <c r="P648" s="530"/>
      <c r="Q648" s="530"/>
      <c r="R648" s="530"/>
      <c r="S648" s="530"/>
      <c r="T648" s="530">
        <v>3943</v>
      </c>
      <c r="U648" s="530" t="s">
        <v>58</v>
      </c>
    </row>
    <row r="649" spans="1:21" ht="13.8" x14ac:dyDescent="0.3">
      <c r="A649" s="530" t="str">
        <f t="shared" si="18"/>
        <v>Conwy.2012.Accommodation - Bed Spaces.Serviced Accommodation 2</v>
      </c>
      <c r="B649" s="530" t="s">
        <v>219</v>
      </c>
      <c r="C649" s="530" t="str">
        <f t="shared" si="19"/>
        <v>2012.Accommodation - Bed Spaces.Serviced Accommodation 2</v>
      </c>
      <c r="D649" s="530" t="s">
        <v>231</v>
      </c>
      <c r="E649" s="530" t="s">
        <v>164</v>
      </c>
      <c r="F649" s="530" t="s">
        <v>152</v>
      </c>
      <c r="G649" s="530" t="s">
        <v>222</v>
      </c>
      <c r="H649" s="530"/>
      <c r="I649" s="530"/>
      <c r="J649" s="530"/>
      <c r="K649" s="530"/>
      <c r="L649" s="530"/>
      <c r="M649" s="530"/>
      <c r="N649" s="530"/>
      <c r="O649" s="530"/>
      <c r="P649" s="530"/>
      <c r="Q649" s="530"/>
      <c r="R649" s="530"/>
      <c r="S649" s="530"/>
      <c r="T649" s="530">
        <v>4392</v>
      </c>
      <c r="U649" s="530" t="s">
        <v>58</v>
      </c>
    </row>
    <row r="650" spans="1:21" ht="13.8" x14ac:dyDescent="0.3">
      <c r="A650" s="530" t="str">
        <f t="shared" si="18"/>
        <v>Conwy.2012.Accommodation - Bed Spaces.Serviced Accommodation 3</v>
      </c>
      <c r="B650" s="530" t="s">
        <v>219</v>
      </c>
      <c r="C650" s="530" t="str">
        <f t="shared" si="19"/>
        <v>2012.Accommodation - Bed Spaces.Serviced Accommodation 3</v>
      </c>
      <c r="D650" s="530" t="s">
        <v>231</v>
      </c>
      <c r="E650" s="530" t="s">
        <v>164</v>
      </c>
      <c r="F650" s="530" t="s">
        <v>153</v>
      </c>
      <c r="G650" s="530" t="s">
        <v>223</v>
      </c>
      <c r="H650" s="530"/>
      <c r="I650" s="530"/>
      <c r="J650" s="530"/>
      <c r="K650" s="530"/>
      <c r="L650" s="530"/>
      <c r="M650" s="530"/>
      <c r="N650" s="530"/>
      <c r="O650" s="530"/>
      <c r="P650" s="530"/>
      <c r="Q650" s="530"/>
      <c r="R650" s="530"/>
      <c r="S650" s="530"/>
      <c r="T650" s="530">
        <v>3350</v>
      </c>
      <c r="U650" s="530" t="s">
        <v>58</v>
      </c>
    </row>
    <row r="651" spans="1:21" ht="13.8" x14ac:dyDescent="0.3">
      <c r="A651" s="530" t="str">
        <f t="shared" si="18"/>
        <v>Conwy.2012.Accommodation - Bed Spaces.Serviced Accommodation 4</v>
      </c>
      <c r="B651" s="530" t="s">
        <v>219</v>
      </c>
      <c r="C651" s="530" t="str">
        <f t="shared" si="19"/>
        <v>2012.Accommodation - Bed Spaces.Serviced Accommodation 4</v>
      </c>
      <c r="D651" s="530" t="s">
        <v>231</v>
      </c>
      <c r="E651" s="530" t="s">
        <v>164</v>
      </c>
      <c r="F651" s="530" t="s">
        <v>154</v>
      </c>
      <c r="G651" s="530" t="s">
        <v>224</v>
      </c>
      <c r="H651" s="530"/>
      <c r="I651" s="530"/>
      <c r="J651" s="530"/>
      <c r="K651" s="530"/>
      <c r="L651" s="530"/>
      <c r="M651" s="530"/>
      <c r="N651" s="530"/>
      <c r="O651" s="530"/>
      <c r="P651" s="530"/>
      <c r="Q651" s="530"/>
      <c r="R651" s="530"/>
      <c r="S651" s="530"/>
      <c r="T651" s="530" t="s">
        <v>224</v>
      </c>
      <c r="U651" s="530" t="s">
        <v>58</v>
      </c>
    </row>
    <row r="652" spans="1:21" ht="13.8" x14ac:dyDescent="0.3">
      <c r="A652" s="530" t="str">
        <f t="shared" si="18"/>
        <v>Conwy.2012.Accommodation - Bed Spaces.Serviced Accommodation 5</v>
      </c>
      <c r="B652" s="530" t="s">
        <v>219</v>
      </c>
      <c r="C652" s="530" t="str">
        <f t="shared" si="19"/>
        <v>2012.Accommodation - Bed Spaces.Serviced Accommodation 5</v>
      </c>
      <c r="D652" s="530" t="s">
        <v>231</v>
      </c>
      <c r="E652" s="530" t="s">
        <v>164</v>
      </c>
      <c r="F652" s="530" t="s">
        <v>155</v>
      </c>
      <c r="G652" s="530" t="s">
        <v>224</v>
      </c>
      <c r="H652" s="530"/>
      <c r="I652" s="530"/>
      <c r="J652" s="530"/>
      <c r="K652" s="530"/>
      <c r="L652" s="530"/>
      <c r="M652" s="530"/>
      <c r="N652" s="530"/>
      <c r="O652" s="530"/>
      <c r="P652" s="530"/>
      <c r="Q652" s="530"/>
      <c r="R652" s="530"/>
      <c r="S652" s="530"/>
      <c r="T652" s="530" t="s">
        <v>224</v>
      </c>
      <c r="U652" s="530" t="s">
        <v>58</v>
      </c>
    </row>
    <row r="653" spans="1:21" ht="13.8" x14ac:dyDescent="0.3">
      <c r="A653" s="530" t="str">
        <f t="shared" si="18"/>
        <v>Conwy.2012.Accommodation - Bed Spaces.Serviced Accommodation Total</v>
      </c>
      <c r="B653" s="530" t="s">
        <v>219</v>
      </c>
      <c r="C653" s="530" t="str">
        <f t="shared" si="19"/>
        <v>2012.Accommodation - Bed Spaces.Serviced Accommodation Total</v>
      </c>
      <c r="D653" s="530" t="s">
        <v>231</v>
      </c>
      <c r="E653" s="530" t="s">
        <v>164</v>
      </c>
      <c r="F653" s="530" t="s">
        <v>161</v>
      </c>
      <c r="G653" s="530" t="s">
        <v>225</v>
      </c>
      <c r="H653" s="530"/>
      <c r="I653" s="530"/>
      <c r="J653" s="530"/>
      <c r="K653" s="530"/>
      <c r="L653" s="530"/>
      <c r="M653" s="530"/>
      <c r="N653" s="530"/>
      <c r="O653" s="530"/>
      <c r="P653" s="530"/>
      <c r="Q653" s="530"/>
      <c r="R653" s="530"/>
      <c r="S653" s="530"/>
      <c r="T653" s="530">
        <v>11685</v>
      </c>
      <c r="U653" s="530" t="s">
        <v>58</v>
      </c>
    </row>
    <row r="654" spans="1:21" ht="13.8" x14ac:dyDescent="0.3">
      <c r="A654" s="530" t="str">
        <f t="shared" si="18"/>
        <v>Conwy.2012.Accommodation - Bed Spaces.Non-Serviced Accommodation 1</v>
      </c>
      <c r="B654" s="530" t="s">
        <v>219</v>
      </c>
      <c r="C654" s="530" t="str">
        <f t="shared" si="19"/>
        <v>2012.Accommodation - Bed Spaces.Non-Serviced Accommodation 1</v>
      </c>
      <c r="D654" s="530" t="s">
        <v>231</v>
      </c>
      <c r="E654" s="530" t="s">
        <v>164</v>
      </c>
      <c r="F654" s="530" t="s">
        <v>156</v>
      </c>
      <c r="G654" s="530" t="s">
        <v>226</v>
      </c>
      <c r="H654" s="530"/>
      <c r="I654" s="530"/>
      <c r="J654" s="530"/>
      <c r="K654" s="530"/>
      <c r="L654" s="530"/>
      <c r="M654" s="530"/>
      <c r="N654" s="530"/>
      <c r="O654" s="530"/>
      <c r="P654" s="530"/>
      <c r="Q654" s="530"/>
      <c r="R654" s="530"/>
      <c r="S654" s="530"/>
      <c r="T654" s="530">
        <v>4333</v>
      </c>
      <c r="U654" s="530" t="s">
        <v>58</v>
      </c>
    </row>
    <row r="655" spans="1:21" ht="13.8" x14ac:dyDescent="0.3">
      <c r="A655" s="530" t="str">
        <f t="shared" si="18"/>
        <v>Conwy.2012.Accommodation - Bed Spaces.Non-Serviced Accommodation 2</v>
      </c>
      <c r="B655" s="530" t="s">
        <v>219</v>
      </c>
      <c r="C655" s="530" t="str">
        <f t="shared" si="19"/>
        <v>2012.Accommodation - Bed Spaces.Non-Serviced Accommodation 2</v>
      </c>
      <c r="D655" s="530" t="s">
        <v>231</v>
      </c>
      <c r="E655" s="530" t="s">
        <v>164</v>
      </c>
      <c r="F655" s="530" t="s">
        <v>157</v>
      </c>
      <c r="G655" s="530" t="s">
        <v>227</v>
      </c>
      <c r="H655" s="530"/>
      <c r="I655" s="530"/>
      <c r="J655" s="530"/>
      <c r="K655" s="530"/>
      <c r="L655" s="530"/>
      <c r="M655" s="530"/>
      <c r="N655" s="530"/>
      <c r="O655" s="530"/>
      <c r="P655" s="530"/>
      <c r="Q655" s="530"/>
      <c r="R655" s="530"/>
      <c r="S655" s="530"/>
      <c r="T655" s="530">
        <v>7107.5513948698754</v>
      </c>
      <c r="U655" s="530" t="s">
        <v>58</v>
      </c>
    </row>
    <row r="656" spans="1:21" ht="13.8" x14ac:dyDescent="0.3">
      <c r="A656" s="530" t="str">
        <f t="shared" si="18"/>
        <v>Conwy.2012.Accommodation - Bed Spaces.Non-Serviced Accommodation 3</v>
      </c>
      <c r="B656" s="530" t="s">
        <v>219</v>
      </c>
      <c r="C656" s="530" t="str">
        <f t="shared" si="19"/>
        <v>2012.Accommodation - Bed Spaces.Non-Serviced Accommodation 3</v>
      </c>
      <c r="D656" s="530" t="s">
        <v>231</v>
      </c>
      <c r="E656" s="530" t="s">
        <v>164</v>
      </c>
      <c r="F656" s="530" t="s">
        <v>158</v>
      </c>
      <c r="G656" s="530" t="s">
        <v>228</v>
      </c>
      <c r="H656" s="530"/>
      <c r="I656" s="530"/>
      <c r="J656" s="530"/>
      <c r="K656" s="530"/>
      <c r="L656" s="530"/>
      <c r="M656" s="530"/>
      <c r="N656" s="530"/>
      <c r="O656" s="530"/>
      <c r="P656" s="530"/>
      <c r="Q656" s="530"/>
      <c r="R656" s="530"/>
      <c r="S656" s="530"/>
      <c r="T656" s="530">
        <v>8715</v>
      </c>
      <c r="U656" s="530" t="s">
        <v>58</v>
      </c>
    </row>
    <row r="657" spans="1:21" ht="13.8" x14ac:dyDescent="0.3">
      <c r="A657" s="530" t="str">
        <f t="shared" si="18"/>
        <v>Conwy.2012.Accommodation - Bed Spaces.Non-Serviced Accommodation 4</v>
      </c>
      <c r="B657" s="530" t="s">
        <v>219</v>
      </c>
      <c r="C657" s="530" t="str">
        <f t="shared" si="19"/>
        <v>2012.Accommodation - Bed Spaces.Non-Serviced Accommodation 4</v>
      </c>
      <c r="D657" s="530" t="s">
        <v>231</v>
      </c>
      <c r="E657" s="530" t="s">
        <v>164</v>
      </c>
      <c r="F657" s="530" t="s">
        <v>159</v>
      </c>
      <c r="G657" s="530" t="s">
        <v>229</v>
      </c>
      <c r="H657" s="530"/>
      <c r="I657" s="530"/>
      <c r="J657" s="530"/>
      <c r="K657" s="530"/>
      <c r="L657" s="530"/>
      <c r="M657" s="530"/>
      <c r="N657" s="530"/>
      <c r="O657" s="530"/>
      <c r="P657" s="530"/>
      <c r="Q657" s="530"/>
      <c r="R657" s="530"/>
      <c r="S657" s="530"/>
      <c r="T657" s="530">
        <v>29189.544841789928</v>
      </c>
      <c r="U657" s="530" t="s">
        <v>58</v>
      </c>
    </row>
    <row r="658" spans="1:21" ht="13.8" x14ac:dyDescent="0.3">
      <c r="A658" s="530" t="str">
        <f t="shared" si="18"/>
        <v>Conwy.2012.Accommodation - Bed Spaces.Non-Serviced Accommodation 5</v>
      </c>
      <c r="B658" s="530" t="s">
        <v>219</v>
      </c>
      <c r="C658" s="530" t="str">
        <f t="shared" si="19"/>
        <v>2012.Accommodation - Bed Spaces.Non-Serviced Accommodation 5</v>
      </c>
      <c r="D658" s="530" t="s">
        <v>231</v>
      </c>
      <c r="E658" s="530" t="s">
        <v>164</v>
      </c>
      <c r="F658" s="530" t="s">
        <v>160</v>
      </c>
      <c r="G658" s="530" t="s">
        <v>224</v>
      </c>
      <c r="H658" s="530"/>
      <c r="I658" s="530"/>
      <c r="J658" s="530"/>
      <c r="K658" s="530"/>
      <c r="L658" s="530"/>
      <c r="M658" s="530"/>
      <c r="N658" s="530"/>
      <c r="O658" s="530"/>
      <c r="P658" s="530"/>
      <c r="Q658" s="530"/>
      <c r="R658" s="530"/>
      <c r="S658" s="530"/>
      <c r="T658" s="530" t="s">
        <v>224</v>
      </c>
      <c r="U658" s="530" t="s">
        <v>58</v>
      </c>
    </row>
    <row r="659" spans="1:21" ht="13.8" x14ac:dyDescent="0.3">
      <c r="A659" s="530" t="str">
        <f t="shared" si="18"/>
        <v>Conwy.2012.Accommodation - Bed Spaces.Non-Serviced Accommodation Total</v>
      </c>
      <c r="B659" s="530" t="s">
        <v>219</v>
      </c>
      <c r="C659" s="530" t="str">
        <f t="shared" si="19"/>
        <v>2012.Accommodation - Bed Spaces.Non-Serviced Accommodation Total</v>
      </c>
      <c r="D659" s="530" t="s">
        <v>231</v>
      </c>
      <c r="E659" s="530" t="s">
        <v>164</v>
      </c>
      <c r="F659" s="530" t="s">
        <v>162</v>
      </c>
      <c r="G659" s="530" t="s">
        <v>230</v>
      </c>
      <c r="H659" s="530"/>
      <c r="I659" s="530"/>
      <c r="J659" s="530"/>
      <c r="K659" s="530"/>
      <c r="L659" s="530"/>
      <c r="M659" s="530"/>
      <c r="N659" s="530"/>
      <c r="O659" s="530"/>
      <c r="P659" s="530"/>
      <c r="Q659" s="530"/>
      <c r="R659" s="530"/>
      <c r="S659" s="530"/>
      <c r="T659" s="530">
        <v>49345.096236659803</v>
      </c>
      <c r="U659" s="530" t="s">
        <v>58</v>
      </c>
    </row>
    <row r="660" spans="1:21" ht="13.8" x14ac:dyDescent="0.3">
      <c r="A660" s="530" t="str">
        <f t="shared" si="18"/>
        <v>Conwy.2012.Accommodation - Bed Spaces.All Accommodation Types</v>
      </c>
      <c r="B660" s="530" t="s">
        <v>219</v>
      </c>
      <c r="C660" s="530" t="str">
        <f t="shared" si="19"/>
        <v>2012.Accommodation - Bed Spaces.All Accommodation Types</v>
      </c>
      <c r="D660" s="530" t="s">
        <v>231</v>
      </c>
      <c r="E660" s="530" t="s">
        <v>164</v>
      </c>
      <c r="F660" s="530" t="s">
        <v>163</v>
      </c>
      <c r="G660" s="530" t="s">
        <v>38</v>
      </c>
      <c r="H660" s="530"/>
      <c r="I660" s="530"/>
      <c r="J660" s="530"/>
      <c r="K660" s="530"/>
      <c r="L660" s="530"/>
      <c r="M660" s="530"/>
      <c r="N660" s="530"/>
      <c r="O660" s="530"/>
      <c r="P660" s="530"/>
      <c r="Q660" s="530"/>
      <c r="R660" s="530"/>
      <c r="S660" s="530"/>
      <c r="T660" s="530">
        <v>61030.096236659803</v>
      </c>
      <c r="U660" s="530" t="s">
        <v>58</v>
      </c>
    </row>
    <row r="661" spans="1:21" ht="13.8" x14ac:dyDescent="0.3">
      <c r="A661" s="530" t="str">
        <f t="shared" si="18"/>
        <v>Conwy.2013.Accommodation - Establishments.Serviced Accommodation 1</v>
      </c>
      <c r="B661" s="530" t="s">
        <v>219</v>
      </c>
      <c r="C661" s="530" t="str">
        <f t="shared" si="19"/>
        <v>2013.Accommodation - Establishments.Serviced Accommodation 1</v>
      </c>
      <c r="D661" s="530" t="s">
        <v>232</v>
      </c>
      <c r="E661" s="530" t="s">
        <v>150</v>
      </c>
      <c r="F661" s="530" t="s">
        <v>151</v>
      </c>
      <c r="G661" s="530" t="s">
        <v>221</v>
      </c>
      <c r="H661" s="530"/>
      <c r="I661" s="530"/>
      <c r="J661" s="530"/>
      <c r="K661" s="530"/>
      <c r="L661" s="530"/>
      <c r="M661" s="530"/>
      <c r="N661" s="530"/>
      <c r="O661" s="530"/>
      <c r="P661" s="530"/>
      <c r="Q661" s="530"/>
      <c r="R661" s="530"/>
      <c r="S661" s="530"/>
      <c r="T661" s="530">
        <v>26</v>
      </c>
      <c r="U661" s="530" t="s">
        <v>149</v>
      </c>
    </row>
    <row r="662" spans="1:21" ht="13.8" x14ac:dyDescent="0.3">
      <c r="A662" s="530" t="str">
        <f t="shared" si="18"/>
        <v>Conwy.2013.Accommodation - Establishments.Serviced Accommodation 2</v>
      </c>
      <c r="B662" s="530" t="s">
        <v>219</v>
      </c>
      <c r="C662" s="530" t="str">
        <f t="shared" si="19"/>
        <v>2013.Accommodation - Establishments.Serviced Accommodation 2</v>
      </c>
      <c r="D662" s="530" t="s">
        <v>232</v>
      </c>
      <c r="E662" s="530" t="s">
        <v>150</v>
      </c>
      <c r="F662" s="530" t="s">
        <v>152</v>
      </c>
      <c r="G662" s="530" t="s">
        <v>222</v>
      </c>
      <c r="H662" s="530"/>
      <c r="I662" s="530"/>
      <c r="J662" s="530"/>
      <c r="K662" s="530"/>
      <c r="L662" s="530"/>
      <c r="M662" s="530"/>
      <c r="N662" s="530"/>
      <c r="O662" s="530"/>
      <c r="P662" s="530"/>
      <c r="Q662" s="530"/>
      <c r="R662" s="530"/>
      <c r="S662" s="530"/>
      <c r="T662" s="530">
        <v>104</v>
      </c>
      <c r="U662" s="530" t="s">
        <v>149</v>
      </c>
    </row>
    <row r="663" spans="1:21" ht="13.8" x14ac:dyDescent="0.3">
      <c r="A663" s="530" t="str">
        <f t="shared" si="18"/>
        <v>Conwy.2013.Accommodation - Establishments.Serviced Accommodation 3</v>
      </c>
      <c r="B663" s="530" t="s">
        <v>219</v>
      </c>
      <c r="C663" s="530" t="str">
        <f t="shared" si="19"/>
        <v>2013.Accommodation - Establishments.Serviced Accommodation 3</v>
      </c>
      <c r="D663" s="530" t="s">
        <v>232</v>
      </c>
      <c r="E663" s="530" t="s">
        <v>150</v>
      </c>
      <c r="F663" s="530" t="s">
        <v>153</v>
      </c>
      <c r="G663" s="530" t="s">
        <v>223</v>
      </c>
      <c r="H663" s="530"/>
      <c r="I663" s="530"/>
      <c r="J663" s="530"/>
      <c r="K663" s="530"/>
      <c r="L663" s="530"/>
      <c r="M663" s="530"/>
      <c r="N663" s="530"/>
      <c r="O663" s="530"/>
      <c r="P663" s="530"/>
      <c r="Q663" s="530"/>
      <c r="R663" s="530"/>
      <c r="S663" s="530"/>
      <c r="T663" s="530">
        <v>282</v>
      </c>
      <c r="U663" s="530" t="s">
        <v>149</v>
      </c>
    </row>
    <row r="664" spans="1:21" ht="13.8" x14ac:dyDescent="0.3">
      <c r="A664" s="530" t="str">
        <f t="shared" si="18"/>
        <v>Conwy.2013.Accommodation - Establishments.Serviced Accommodation 4</v>
      </c>
      <c r="B664" s="530" t="s">
        <v>219</v>
      </c>
      <c r="C664" s="530" t="str">
        <f t="shared" si="19"/>
        <v>2013.Accommodation - Establishments.Serviced Accommodation 4</v>
      </c>
      <c r="D664" s="530" t="s">
        <v>232</v>
      </c>
      <c r="E664" s="530" t="s">
        <v>150</v>
      </c>
      <c r="F664" s="530" t="s">
        <v>154</v>
      </c>
      <c r="G664" s="530" t="s">
        <v>224</v>
      </c>
      <c r="H664" s="530"/>
      <c r="I664" s="530"/>
      <c r="J664" s="530"/>
      <c r="K664" s="530"/>
      <c r="L664" s="530"/>
      <c r="M664" s="530"/>
      <c r="N664" s="530"/>
      <c r="O664" s="530"/>
      <c r="P664" s="530"/>
      <c r="Q664" s="530"/>
      <c r="R664" s="530"/>
      <c r="S664" s="530"/>
      <c r="T664" s="530" t="s">
        <v>224</v>
      </c>
      <c r="U664" s="530" t="s">
        <v>149</v>
      </c>
    </row>
    <row r="665" spans="1:21" ht="13.8" x14ac:dyDescent="0.3">
      <c r="A665" s="530" t="str">
        <f t="shared" si="18"/>
        <v>Conwy.2013.Accommodation - Establishments.Serviced Accommodation 5</v>
      </c>
      <c r="B665" s="530" t="s">
        <v>219</v>
      </c>
      <c r="C665" s="530" t="str">
        <f t="shared" si="19"/>
        <v>2013.Accommodation - Establishments.Serviced Accommodation 5</v>
      </c>
      <c r="D665" s="530" t="s">
        <v>232</v>
      </c>
      <c r="E665" s="530" t="s">
        <v>150</v>
      </c>
      <c r="F665" s="530" t="s">
        <v>155</v>
      </c>
      <c r="G665" s="530" t="s">
        <v>224</v>
      </c>
      <c r="H665" s="530"/>
      <c r="I665" s="530"/>
      <c r="J665" s="530"/>
      <c r="K665" s="530"/>
      <c r="L665" s="530"/>
      <c r="M665" s="530"/>
      <c r="N665" s="530"/>
      <c r="O665" s="530"/>
      <c r="P665" s="530"/>
      <c r="Q665" s="530"/>
      <c r="R665" s="530"/>
      <c r="S665" s="530"/>
      <c r="T665" s="530" t="s">
        <v>224</v>
      </c>
      <c r="U665" s="530" t="s">
        <v>149</v>
      </c>
    </row>
    <row r="666" spans="1:21" ht="15" customHeight="1" x14ac:dyDescent="0.3">
      <c r="A666" s="530" t="str">
        <f t="shared" si="18"/>
        <v>Conwy.2013.Accommodation - Establishments.Serviced Accommodation Total</v>
      </c>
      <c r="B666" s="530" t="s">
        <v>219</v>
      </c>
      <c r="C666" s="530" t="str">
        <f t="shared" si="19"/>
        <v>2013.Accommodation - Establishments.Serviced Accommodation Total</v>
      </c>
      <c r="D666" s="530" t="s">
        <v>232</v>
      </c>
      <c r="E666" s="530" t="s">
        <v>150</v>
      </c>
      <c r="F666" s="530" t="s">
        <v>161</v>
      </c>
      <c r="G666" s="530" t="s">
        <v>225</v>
      </c>
      <c r="H666" s="530"/>
      <c r="I666" s="530"/>
      <c r="J666" s="530"/>
      <c r="K666" s="530"/>
      <c r="L666" s="530"/>
      <c r="M666" s="530"/>
      <c r="N666" s="530"/>
      <c r="O666" s="530"/>
      <c r="P666" s="530"/>
      <c r="Q666" s="530"/>
      <c r="R666" s="530"/>
      <c r="S666" s="530"/>
      <c r="T666" s="530">
        <v>412</v>
      </c>
      <c r="U666" s="530" t="s">
        <v>149</v>
      </c>
    </row>
    <row r="667" spans="1:21" ht="15" customHeight="1" x14ac:dyDescent="0.3">
      <c r="A667" s="530" t="str">
        <f t="shared" si="18"/>
        <v>Conwy.2013.Accommodation - Establishments.Non-Serviced Accommodation 1</v>
      </c>
      <c r="B667" s="530" t="s">
        <v>219</v>
      </c>
      <c r="C667" s="530" t="str">
        <f t="shared" si="19"/>
        <v>2013.Accommodation - Establishments.Non-Serviced Accommodation 1</v>
      </c>
      <c r="D667" s="530" t="s">
        <v>232</v>
      </c>
      <c r="E667" s="530" t="s">
        <v>150</v>
      </c>
      <c r="F667" s="530" t="s">
        <v>156</v>
      </c>
      <c r="G667" s="530" t="s">
        <v>226</v>
      </c>
      <c r="H667" s="530"/>
      <c r="I667" s="530"/>
      <c r="J667" s="530"/>
      <c r="K667" s="530"/>
      <c r="L667" s="530"/>
      <c r="M667" s="530"/>
      <c r="N667" s="530"/>
      <c r="O667" s="530"/>
      <c r="P667" s="530"/>
      <c r="Q667" s="530"/>
      <c r="R667" s="530"/>
      <c r="S667" s="530"/>
      <c r="T667" s="530">
        <v>525</v>
      </c>
      <c r="U667" s="530" t="s">
        <v>149</v>
      </c>
    </row>
    <row r="668" spans="1:21" ht="15" customHeight="1" x14ac:dyDescent="0.3">
      <c r="A668" s="530" t="str">
        <f t="shared" si="18"/>
        <v>Conwy.2013.Accommodation - Establishments.Non-Serviced Accommodation 2</v>
      </c>
      <c r="B668" s="530" t="s">
        <v>219</v>
      </c>
      <c r="C668" s="530" t="str">
        <f t="shared" si="19"/>
        <v>2013.Accommodation - Establishments.Non-Serviced Accommodation 2</v>
      </c>
      <c r="D668" s="530" t="s">
        <v>232</v>
      </c>
      <c r="E668" s="530" t="s">
        <v>150</v>
      </c>
      <c r="F668" s="530" t="s">
        <v>157</v>
      </c>
      <c r="G668" s="530" t="s">
        <v>227</v>
      </c>
      <c r="H668" s="530"/>
      <c r="I668" s="530"/>
      <c r="J668" s="530"/>
      <c r="K668" s="530"/>
      <c r="L668" s="530"/>
      <c r="M668" s="530"/>
      <c r="N668" s="530"/>
      <c r="O668" s="530"/>
      <c r="P668" s="530"/>
      <c r="Q668" s="530"/>
      <c r="R668" s="530"/>
      <c r="S668" s="530"/>
      <c r="T668" s="530">
        <v>89</v>
      </c>
      <c r="U668" s="530" t="s">
        <v>149</v>
      </c>
    </row>
    <row r="669" spans="1:21" ht="15" customHeight="1" x14ac:dyDescent="0.3">
      <c r="A669" s="530" t="str">
        <f t="shared" si="18"/>
        <v>Conwy.2013.Accommodation - Establishments.Non-Serviced Accommodation 3</v>
      </c>
      <c r="B669" s="530" t="s">
        <v>219</v>
      </c>
      <c r="C669" s="530" t="str">
        <f t="shared" si="19"/>
        <v>2013.Accommodation - Establishments.Non-Serviced Accommodation 3</v>
      </c>
      <c r="D669" s="530" t="s">
        <v>232</v>
      </c>
      <c r="E669" s="530" t="s">
        <v>150</v>
      </c>
      <c r="F669" s="530" t="s">
        <v>158</v>
      </c>
      <c r="G669" s="530" t="s">
        <v>228</v>
      </c>
      <c r="H669" s="530"/>
      <c r="I669" s="530"/>
      <c r="J669" s="530"/>
      <c r="K669" s="530"/>
      <c r="L669" s="530"/>
      <c r="M669" s="530"/>
      <c r="N669" s="530"/>
      <c r="O669" s="530"/>
      <c r="P669" s="530"/>
      <c r="Q669" s="530"/>
      <c r="R669" s="530"/>
      <c r="S669" s="530"/>
      <c r="T669" s="530">
        <v>50</v>
      </c>
      <c r="U669" s="530" t="s">
        <v>149</v>
      </c>
    </row>
    <row r="670" spans="1:21" ht="15" customHeight="1" x14ac:dyDescent="0.3">
      <c r="A670" s="530" t="str">
        <f t="shared" si="18"/>
        <v>Conwy.2013.Accommodation - Establishments.Non-Serviced Accommodation 4</v>
      </c>
      <c r="B670" s="530" t="s">
        <v>219</v>
      </c>
      <c r="C670" s="530" t="str">
        <f t="shared" si="19"/>
        <v>2013.Accommodation - Establishments.Non-Serviced Accommodation 4</v>
      </c>
      <c r="D670" s="530" t="s">
        <v>232</v>
      </c>
      <c r="E670" s="530" t="s">
        <v>150</v>
      </c>
      <c r="F670" s="530" t="s">
        <v>159</v>
      </c>
      <c r="G670" s="530" t="s">
        <v>229</v>
      </c>
      <c r="H670" s="530"/>
      <c r="I670" s="530"/>
      <c r="J670" s="530"/>
      <c r="K670" s="530"/>
      <c r="L670" s="530"/>
      <c r="M670" s="530"/>
      <c r="N670" s="530"/>
      <c r="O670" s="530"/>
      <c r="P670" s="530"/>
      <c r="Q670" s="530"/>
      <c r="R670" s="530"/>
      <c r="S670" s="530"/>
      <c r="T670" s="530">
        <v>0</v>
      </c>
      <c r="U670" s="530" t="s">
        <v>149</v>
      </c>
    </row>
    <row r="671" spans="1:21" ht="15" customHeight="1" x14ac:dyDescent="0.3">
      <c r="A671" s="530" t="str">
        <f t="shared" si="18"/>
        <v>Conwy.2013.Accommodation - Establishments.Non-Serviced Accommodation 5</v>
      </c>
      <c r="B671" s="530" t="s">
        <v>219</v>
      </c>
      <c r="C671" s="530" t="str">
        <f t="shared" si="19"/>
        <v>2013.Accommodation - Establishments.Non-Serviced Accommodation 5</v>
      </c>
      <c r="D671" s="530" t="s">
        <v>232</v>
      </c>
      <c r="E671" s="530" t="s">
        <v>150</v>
      </c>
      <c r="F671" s="530" t="s">
        <v>160</v>
      </c>
      <c r="G671" s="530" t="s">
        <v>224</v>
      </c>
      <c r="H671" s="530"/>
      <c r="I671" s="530"/>
      <c r="J671" s="530"/>
      <c r="K671" s="530"/>
      <c r="L671" s="530"/>
      <c r="M671" s="530"/>
      <c r="N671" s="530"/>
      <c r="O671" s="530"/>
      <c r="P671" s="530"/>
      <c r="Q671" s="530"/>
      <c r="R671" s="530"/>
      <c r="S671" s="530"/>
      <c r="T671" s="530" t="s">
        <v>224</v>
      </c>
      <c r="U671" s="530" t="s">
        <v>149</v>
      </c>
    </row>
    <row r="672" spans="1:21" ht="15" customHeight="1" x14ac:dyDescent="0.3">
      <c r="A672" s="530" t="str">
        <f t="shared" si="18"/>
        <v>Conwy.2013.Accommodation - Establishments.Non-Serviced Accommodation Total</v>
      </c>
      <c r="B672" s="530" t="s">
        <v>219</v>
      </c>
      <c r="C672" s="530" t="str">
        <f t="shared" si="19"/>
        <v>2013.Accommodation - Establishments.Non-Serviced Accommodation Total</v>
      </c>
      <c r="D672" s="530" t="s">
        <v>232</v>
      </c>
      <c r="E672" s="530" t="s">
        <v>150</v>
      </c>
      <c r="F672" s="530" t="s">
        <v>162</v>
      </c>
      <c r="G672" s="530" t="s">
        <v>230</v>
      </c>
      <c r="H672" s="530"/>
      <c r="I672" s="530"/>
      <c r="J672" s="530"/>
      <c r="K672" s="530"/>
      <c r="L672" s="530"/>
      <c r="M672" s="530"/>
      <c r="N672" s="530"/>
      <c r="O672" s="530"/>
      <c r="P672" s="530"/>
      <c r="Q672" s="530"/>
      <c r="R672" s="530"/>
      <c r="S672" s="530"/>
      <c r="T672" s="530">
        <v>664</v>
      </c>
      <c r="U672" s="530" t="s">
        <v>149</v>
      </c>
    </row>
    <row r="673" spans="1:21" ht="15" customHeight="1" x14ac:dyDescent="0.3">
      <c r="A673" s="530" t="str">
        <f t="shared" si="18"/>
        <v>Conwy.2013.Accommodation - Establishments.All Accommodation Types</v>
      </c>
      <c r="B673" s="530" t="s">
        <v>219</v>
      </c>
      <c r="C673" s="530" t="str">
        <f t="shared" si="19"/>
        <v>2013.Accommodation - Establishments.All Accommodation Types</v>
      </c>
      <c r="D673" s="530" t="s">
        <v>232</v>
      </c>
      <c r="E673" s="530" t="s">
        <v>150</v>
      </c>
      <c r="F673" s="530" t="s">
        <v>163</v>
      </c>
      <c r="G673" s="530" t="s">
        <v>38</v>
      </c>
      <c r="H673" s="530"/>
      <c r="I673" s="530"/>
      <c r="J673" s="530"/>
      <c r="K673" s="530"/>
      <c r="L673" s="530"/>
      <c r="M673" s="530"/>
      <c r="N673" s="530"/>
      <c r="O673" s="530"/>
      <c r="P673" s="530"/>
      <c r="Q673" s="530"/>
      <c r="R673" s="530"/>
      <c r="S673" s="530"/>
      <c r="T673" s="530">
        <v>1076</v>
      </c>
      <c r="U673" s="530" t="s">
        <v>149</v>
      </c>
    </row>
    <row r="674" spans="1:21" ht="13.8" x14ac:dyDescent="0.3">
      <c r="A674" s="530" t="str">
        <f t="shared" si="18"/>
        <v>Conwy.2013.Accommodation - Bed Spaces.Serviced Accommodation 1</v>
      </c>
      <c r="B674" s="530" t="s">
        <v>219</v>
      </c>
      <c r="C674" s="530" t="str">
        <f t="shared" si="19"/>
        <v>2013.Accommodation - Bed Spaces.Serviced Accommodation 1</v>
      </c>
      <c r="D674" s="530" t="s">
        <v>232</v>
      </c>
      <c r="E674" s="530" t="s">
        <v>164</v>
      </c>
      <c r="F674" s="530" t="s">
        <v>151</v>
      </c>
      <c r="G674" s="530" t="s">
        <v>221</v>
      </c>
      <c r="H674" s="530"/>
      <c r="I674" s="530"/>
      <c r="J674" s="530"/>
      <c r="K674" s="530"/>
      <c r="L674" s="530"/>
      <c r="M674" s="530"/>
      <c r="N674" s="530"/>
      <c r="O674" s="530"/>
      <c r="P674" s="530"/>
      <c r="Q674" s="530"/>
      <c r="R674" s="530"/>
      <c r="S674" s="530"/>
      <c r="T674" s="530">
        <v>3943</v>
      </c>
      <c r="U674" s="530" t="s">
        <v>58</v>
      </c>
    </row>
    <row r="675" spans="1:21" ht="13.8" x14ac:dyDescent="0.3">
      <c r="A675" s="530" t="str">
        <f t="shared" si="18"/>
        <v>Conwy.2013.Accommodation - Bed Spaces.Serviced Accommodation 2</v>
      </c>
      <c r="B675" s="530" t="s">
        <v>219</v>
      </c>
      <c r="C675" s="530" t="str">
        <f t="shared" si="19"/>
        <v>2013.Accommodation - Bed Spaces.Serviced Accommodation 2</v>
      </c>
      <c r="D675" s="530" t="s">
        <v>232</v>
      </c>
      <c r="E675" s="530" t="s">
        <v>164</v>
      </c>
      <c r="F675" s="530" t="s">
        <v>152</v>
      </c>
      <c r="G675" s="530" t="s">
        <v>222</v>
      </c>
      <c r="H675" s="530"/>
      <c r="I675" s="530"/>
      <c r="J675" s="530"/>
      <c r="K675" s="530"/>
      <c r="L675" s="530"/>
      <c r="M675" s="530"/>
      <c r="N675" s="530"/>
      <c r="O675" s="530"/>
      <c r="P675" s="530"/>
      <c r="Q675" s="530"/>
      <c r="R675" s="530"/>
      <c r="S675" s="530"/>
      <c r="T675" s="530">
        <v>4392</v>
      </c>
      <c r="U675" s="530" t="s">
        <v>58</v>
      </c>
    </row>
    <row r="676" spans="1:21" ht="13.8" x14ac:dyDescent="0.3">
      <c r="A676" s="530" t="str">
        <f t="shared" si="18"/>
        <v>Conwy.2013.Accommodation - Bed Spaces.Serviced Accommodation 3</v>
      </c>
      <c r="B676" s="530" t="s">
        <v>219</v>
      </c>
      <c r="C676" s="530" t="str">
        <f t="shared" si="19"/>
        <v>2013.Accommodation - Bed Spaces.Serviced Accommodation 3</v>
      </c>
      <c r="D676" s="530" t="s">
        <v>232</v>
      </c>
      <c r="E676" s="530" t="s">
        <v>164</v>
      </c>
      <c r="F676" s="530" t="s">
        <v>153</v>
      </c>
      <c r="G676" s="530" t="s">
        <v>223</v>
      </c>
      <c r="H676" s="530"/>
      <c r="I676" s="530"/>
      <c r="J676" s="530"/>
      <c r="K676" s="530"/>
      <c r="L676" s="530"/>
      <c r="M676" s="530"/>
      <c r="N676" s="530"/>
      <c r="O676" s="530"/>
      <c r="P676" s="530"/>
      <c r="Q676" s="530"/>
      <c r="R676" s="530"/>
      <c r="S676" s="530"/>
      <c r="T676" s="530">
        <v>3375</v>
      </c>
      <c r="U676" s="530" t="s">
        <v>58</v>
      </c>
    </row>
    <row r="677" spans="1:21" ht="13.8" x14ac:dyDescent="0.3">
      <c r="A677" s="530" t="str">
        <f t="shared" si="18"/>
        <v>Conwy.2013.Accommodation - Bed Spaces.Serviced Accommodation 4</v>
      </c>
      <c r="B677" s="530" t="s">
        <v>219</v>
      </c>
      <c r="C677" s="530" t="str">
        <f t="shared" si="19"/>
        <v>2013.Accommodation - Bed Spaces.Serviced Accommodation 4</v>
      </c>
      <c r="D677" s="530" t="s">
        <v>232</v>
      </c>
      <c r="E677" s="530" t="s">
        <v>164</v>
      </c>
      <c r="F677" s="530" t="s">
        <v>154</v>
      </c>
      <c r="G677" s="530" t="s">
        <v>224</v>
      </c>
      <c r="H677" s="530"/>
      <c r="I677" s="530"/>
      <c r="J677" s="530"/>
      <c r="K677" s="530"/>
      <c r="L677" s="530"/>
      <c r="M677" s="530"/>
      <c r="N677" s="530"/>
      <c r="O677" s="530"/>
      <c r="P677" s="530"/>
      <c r="Q677" s="530"/>
      <c r="R677" s="530"/>
      <c r="S677" s="530"/>
      <c r="T677" s="530" t="s">
        <v>224</v>
      </c>
      <c r="U677" s="530" t="s">
        <v>58</v>
      </c>
    </row>
    <row r="678" spans="1:21" ht="13.8" x14ac:dyDescent="0.3">
      <c r="A678" s="530" t="str">
        <f t="shared" si="18"/>
        <v>Conwy.2013.Accommodation - Bed Spaces.Serviced Accommodation 5</v>
      </c>
      <c r="B678" s="530" t="s">
        <v>219</v>
      </c>
      <c r="C678" s="530" t="str">
        <f t="shared" si="19"/>
        <v>2013.Accommodation - Bed Spaces.Serviced Accommodation 5</v>
      </c>
      <c r="D678" s="530" t="s">
        <v>232</v>
      </c>
      <c r="E678" s="530" t="s">
        <v>164</v>
      </c>
      <c r="F678" s="530" t="s">
        <v>155</v>
      </c>
      <c r="G678" s="530" t="s">
        <v>224</v>
      </c>
      <c r="H678" s="530"/>
      <c r="I678" s="530"/>
      <c r="J678" s="530"/>
      <c r="K678" s="530"/>
      <c r="L678" s="530"/>
      <c r="M678" s="530"/>
      <c r="N678" s="530"/>
      <c r="O678" s="530"/>
      <c r="P678" s="530"/>
      <c r="Q678" s="530"/>
      <c r="R678" s="530"/>
      <c r="S678" s="530"/>
      <c r="T678" s="530" t="s">
        <v>224</v>
      </c>
      <c r="U678" s="530" t="s">
        <v>58</v>
      </c>
    </row>
    <row r="679" spans="1:21" ht="13.8" x14ac:dyDescent="0.3">
      <c r="A679" s="530" t="str">
        <f t="shared" si="18"/>
        <v>Conwy.2013.Accommodation - Bed Spaces.Serviced Accommodation Total</v>
      </c>
      <c r="B679" s="530" t="s">
        <v>219</v>
      </c>
      <c r="C679" s="530" t="str">
        <f t="shared" si="19"/>
        <v>2013.Accommodation - Bed Spaces.Serviced Accommodation Total</v>
      </c>
      <c r="D679" s="530" t="s">
        <v>232</v>
      </c>
      <c r="E679" s="530" t="s">
        <v>164</v>
      </c>
      <c r="F679" s="530" t="s">
        <v>161</v>
      </c>
      <c r="G679" s="530" t="s">
        <v>225</v>
      </c>
      <c r="H679" s="530"/>
      <c r="I679" s="530"/>
      <c r="J679" s="530"/>
      <c r="K679" s="530"/>
      <c r="L679" s="530"/>
      <c r="M679" s="530"/>
      <c r="N679" s="530"/>
      <c r="O679" s="530"/>
      <c r="P679" s="530"/>
      <c r="Q679" s="530"/>
      <c r="R679" s="530"/>
      <c r="S679" s="530"/>
      <c r="T679" s="530">
        <v>11710</v>
      </c>
      <c r="U679" s="530" t="s">
        <v>58</v>
      </c>
    </row>
    <row r="680" spans="1:21" ht="13.8" x14ac:dyDescent="0.3">
      <c r="A680" s="530" t="str">
        <f t="shared" si="18"/>
        <v>Conwy.2013.Accommodation - Bed Spaces.Non-Serviced Accommodation 1</v>
      </c>
      <c r="B680" s="530" t="s">
        <v>219</v>
      </c>
      <c r="C680" s="530" t="str">
        <f t="shared" si="19"/>
        <v>2013.Accommodation - Bed Spaces.Non-Serviced Accommodation 1</v>
      </c>
      <c r="D680" s="530" t="s">
        <v>232</v>
      </c>
      <c r="E680" s="530" t="s">
        <v>164</v>
      </c>
      <c r="F680" s="530" t="s">
        <v>156</v>
      </c>
      <c r="G680" s="530" t="s">
        <v>226</v>
      </c>
      <c r="H680" s="530"/>
      <c r="I680" s="530"/>
      <c r="J680" s="530"/>
      <c r="K680" s="530"/>
      <c r="L680" s="530"/>
      <c r="M680" s="530"/>
      <c r="N680" s="530"/>
      <c r="O680" s="530"/>
      <c r="P680" s="530"/>
      <c r="Q680" s="530"/>
      <c r="R680" s="530"/>
      <c r="S680" s="530"/>
      <c r="T680" s="530">
        <v>4373</v>
      </c>
      <c r="U680" s="530" t="s">
        <v>58</v>
      </c>
    </row>
    <row r="681" spans="1:21" ht="13.8" x14ac:dyDescent="0.3">
      <c r="A681" s="530" t="str">
        <f t="shared" si="18"/>
        <v>Conwy.2013.Accommodation - Bed Spaces.Non-Serviced Accommodation 2</v>
      </c>
      <c r="B681" s="530" t="s">
        <v>219</v>
      </c>
      <c r="C681" s="530" t="str">
        <f t="shared" si="19"/>
        <v>2013.Accommodation - Bed Spaces.Non-Serviced Accommodation 2</v>
      </c>
      <c r="D681" s="530" t="s">
        <v>232</v>
      </c>
      <c r="E681" s="530" t="s">
        <v>164</v>
      </c>
      <c r="F681" s="530" t="s">
        <v>157</v>
      </c>
      <c r="G681" s="530" t="s">
        <v>227</v>
      </c>
      <c r="H681" s="530"/>
      <c r="I681" s="530"/>
      <c r="J681" s="530"/>
      <c r="K681" s="530"/>
      <c r="L681" s="530"/>
      <c r="M681" s="530"/>
      <c r="N681" s="530"/>
      <c r="O681" s="530"/>
      <c r="P681" s="530"/>
      <c r="Q681" s="530"/>
      <c r="R681" s="530"/>
      <c r="S681" s="530"/>
      <c r="T681" s="530">
        <v>7107.5513948698754</v>
      </c>
      <c r="U681" s="530" t="s">
        <v>58</v>
      </c>
    </row>
    <row r="682" spans="1:21" ht="13.8" x14ac:dyDescent="0.3">
      <c r="A682" s="530" t="str">
        <f t="shared" si="18"/>
        <v>Conwy.2013.Accommodation - Bed Spaces.Non-Serviced Accommodation 3</v>
      </c>
      <c r="B682" s="530" t="s">
        <v>219</v>
      </c>
      <c r="C682" s="530" t="str">
        <f t="shared" si="19"/>
        <v>2013.Accommodation - Bed Spaces.Non-Serviced Accommodation 3</v>
      </c>
      <c r="D682" s="530" t="s">
        <v>232</v>
      </c>
      <c r="E682" s="530" t="s">
        <v>164</v>
      </c>
      <c r="F682" s="530" t="s">
        <v>158</v>
      </c>
      <c r="G682" s="530" t="s">
        <v>228</v>
      </c>
      <c r="H682" s="530"/>
      <c r="I682" s="530"/>
      <c r="J682" s="530"/>
      <c r="K682" s="530"/>
      <c r="L682" s="530"/>
      <c r="M682" s="530"/>
      <c r="N682" s="530"/>
      <c r="O682" s="530"/>
      <c r="P682" s="530"/>
      <c r="Q682" s="530"/>
      <c r="R682" s="530"/>
      <c r="S682" s="530"/>
      <c r="T682" s="530">
        <v>8715</v>
      </c>
      <c r="U682" s="530" t="s">
        <v>58</v>
      </c>
    </row>
    <row r="683" spans="1:21" ht="13.8" x14ac:dyDescent="0.3">
      <c r="A683" s="530" t="str">
        <f t="shared" si="18"/>
        <v>Conwy.2013.Accommodation - Bed Spaces.Non-Serviced Accommodation 4</v>
      </c>
      <c r="B683" s="530" t="s">
        <v>219</v>
      </c>
      <c r="C683" s="530" t="str">
        <f t="shared" si="19"/>
        <v>2013.Accommodation - Bed Spaces.Non-Serviced Accommodation 4</v>
      </c>
      <c r="D683" s="530" t="s">
        <v>232</v>
      </c>
      <c r="E683" s="530" t="s">
        <v>164</v>
      </c>
      <c r="F683" s="530" t="s">
        <v>159</v>
      </c>
      <c r="G683" s="530" t="s">
        <v>229</v>
      </c>
      <c r="H683" s="530"/>
      <c r="I683" s="530"/>
      <c r="J683" s="530"/>
      <c r="K683" s="530"/>
      <c r="L683" s="530"/>
      <c r="M683" s="530"/>
      <c r="N683" s="530"/>
      <c r="O683" s="530"/>
      <c r="P683" s="530"/>
      <c r="Q683" s="530"/>
      <c r="R683" s="530"/>
      <c r="S683" s="530"/>
      <c r="T683" s="530">
        <v>29189.544841789928</v>
      </c>
      <c r="U683" s="530" t="s">
        <v>58</v>
      </c>
    </row>
    <row r="684" spans="1:21" ht="13.8" x14ac:dyDescent="0.3">
      <c r="A684" s="530" t="str">
        <f t="shared" si="18"/>
        <v>Conwy.2013.Accommodation - Bed Spaces.Non-Serviced Accommodation 5</v>
      </c>
      <c r="B684" s="530" t="s">
        <v>219</v>
      </c>
      <c r="C684" s="530" t="str">
        <f t="shared" si="19"/>
        <v>2013.Accommodation - Bed Spaces.Non-Serviced Accommodation 5</v>
      </c>
      <c r="D684" s="530" t="s">
        <v>232</v>
      </c>
      <c r="E684" s="530" t="s">
        <v>164</v>
      </c>
      <c r="F684" s="530" t="s">
        <v>160</v>
      </c>
      <c r="G684" s="530" t="s">
        <v>224</v>
      </c>
      <c r="H684" s="530"/>
      <c r="I684" s="530"/>
      <c r="J684" s="530"/>
      <c r="K684" s="530"/>
      <c r="L684" s="530"/>
      <c r="M684" s="530"/>
      <c r="N684" s="530"/>
      <c r="O684" s="530"/>
      <c r="P684" s="530"/>
      <c r="Q684" s="530"/>
      <c r="R684" s="530"/>
      <c r="S684" s="530"/>
      <c r="T684" s="530" t="s">
        <v>224</v>
      </c>
      <c r="U684" s="530" t="s">
        <v>58</v>
      </c>
    </row>
    <row r="685" spans="1:21" ht="13.8" x14ac:dyDescent="0.3">
      <c r="A685" s="530" t="str">
        <f t="shared" si="18"/>
        <v>Conwy.2013.Accommodation - Bed Spaces.Non-Serviced Accommodation Total</v>
      </c>
      <c r="B685" s="530" t="s">
        <v>219</v>
      </c>
      <c r="C685" s="530" t="str">
        <f t="shared" si="19"/>
        <v>2013.Accommodation - Bed Spaces.Non-Serviced Accommodation Total</v>
      </c>
      <c r="D685" s="530" t="s">
        <v>232</v>
      </c>
      <c r="E685" s="530" t="s">
        <v>164</v>
      </c>
      <c r="F685" s="530" t="s">
        <v>162</v>
      </c>
      <c r="G685" s="530" t="s">
        <v>230</v>
      </c>
      <c r="H685" s="530"/>
      <c r="I685" s="530"/>
      <c r="J685" s="530"/>
      <c r="K685" s="530"/>
      <c r="L685" s="530"/>
      <c r="M685" s="530"/>
      <c r="N685" s="530"/>
      <c r="O685" s="530"/>
      <c r="P685" s="530"/>
      <c r="Q685" s="530"/>
      <c r="R685" s="530"/>
      <c r="S685" s="530"/>
      <c r="T685" s="530">
        <v>49385.096236659803</v>
      </c>
      <c r="U685" s="530" t="s">
        <v>58</v>
      </c>
    </row>
    <row r="686" spans="1:21" ht="13.8" x14ac:dyDescent="0.3">
      <c r="A686" s="530" t="str">
        <f t="shared" si="18"/>
        <v>Conwy.2013.Accommodation - Bed Spaces.All Accommodation Types</v>
      </c>
      <c r="B686" s="530" t="s">
        <v>219</v>
      </c>
      <c r="C686" s="530" t="str">
        <f t="shared" si="19"/>
        <v>2013.Accommodation - Bed Spaces.All Accommodation Types</v>
      </c>
      <c r="D686" s="530" t="s">
        <v>232</v>
      </c>
      <c r="E686" s="530" t="s">
        <v>164</v>
      </c>
      <c r="F686" s="530" t="s">
        <v>163</v>
      </c>
      <c r="G686" s="530" t="s">
        <v>38</v>
      </c>
      <c r="H686" s="530"/>
      <c r="I686" s="530"/>
      <c r="J686" s="530"/>
      <c r="K686" s="530"/>
      <c r="L686" s="530"/>
      <c r="M686" s="530"/>
      <c r="N686" s="530"/>
      <c r="O686" s="530"/>
      <c r="P686" s="530"/>
      <c r="Q686" s="530"/>
      <c r="R686" s="530"/>
      <c r="S686" s="530"/>
      <c r="T686" s="530">
        <v>61095.096236659803</v>
      </c>
      <c r="U686" s="530" t="s">
        <v>58</v>
      </c>
    </row>
    <row r="687" spans="1:21" ht="13.8" x14ac:dyDescent="0.3">
      <c r="A687" s="530" t="str">
        <f t="shared" si="18"/>
        <v>Conwy.2014.Accommodation - Establishments.Serviced Accommodation 1</v>
      </c>
      <c r="B687" s="530" t="s">
        <v>219</v>
      </c>
      <c r="C687" s="530" t="str">
        <f t="shared" si="19"/>
        <v>2014.Accommodation - Establishments.Serviced Accommodation 1</v>
      </c>
      <c r="D687" s="530" t="s">
        <v>233</v>
      </c>
      <c r="E687" s="530" t="s">
        <v>150</v>
      </c>
      <c r="F687" s="530" t="s">
        <v>151</v>
      </c>
      <c r="G687" s="530" t="s">
        <v>221</v>
      </c>
      <c r="H687" s="530"/>
      <c r="I687" s="530"/>
      <c r="J687" s="530"/>
      <c r="K687" s="530"/>
      <c r="L687" s="530"/>
      <c r="M687" s="530"/>
      <c r="N687" s="530"/>
      <c r="O687" s="530"/>
      <c r="P687" s="530"/>
      <c r="Q687" s="530"/>
      <c r="R687" s="530"/>
      <c r="S687" s="530"/>
      <c r="T687" s="530">
        <v>26</v>
      </c>
      <c r="U687" s="530" t="s">
        <v>149</v>
      </c>
    </row>
    <row r="688" spans="1:21" ht="13.8" x14ac:dyDescent="0.3">
      <c r="A688" s="530" t="str">
        <f t="shared" si="18"/>
        <v>Conwy.2014.Accommodation - Establishments.Serviced Accommodation 2</v>
      </c>
      <c r="B688" s="530" t="s">
        <v>219</v>
      </c>
      <c r="C688" s="530" t="str">
        <f t="shared" si="19"/>
        <v>2014.Accommodation - Establishments.Serviced Accommodation 2</v>
      </c>
      <c r="D688" s="530" t="s">
        <v>233</v>
      </c>
      <c r="E688" s="530" t="s">
        <v>150</v>
      </c>
      <c r="F688" s="530" t="s">
        <v>152</v>
      </c>
      <c r="G688" s="530" t="s">
        <v>222</v>
      </c>
      <c r="H688" s="530"/>
      <c r="I688" s="530"/>
      <c r="J688" s="530"/>
      <c r="K688" s="530"/>
      <c r="L688" s="530"/>
      <c r="M688" s="530"/>
      <c r="N688" s="530"/>
      <c r="O688" s="530"/>
      <c r="P688" s="530"/>
      <c r="Q688" s="530"/>
      <c r="R688" s="530"/>
      <c r="S688" s="530"/>
      <c r="T688" s="530">
        <v>104</v>
      </c>
      <c r="U688" s="530" t="s">
        <v>149</v>
      </c>
    </row>
    <row r="689" spans="1:21" ht="13.8" x14ac:dyDescent="0.3">
      <c r="A689" s="530" t="str">
        <f t="shared" si="18"/>
        <v>Conwy.2014.Accommodation - Establishments.Serviced Accommodation 3</v>
      </c>
      <c r="B689" s="530" t="s">
        <v>219</v>
      </c>
      <c r="C689" s="530" t="str">
        <f t="shared" si="19"/>
        <v>2014.Accommodation - Establishments.Serviced Accommodation 3</v>
      </c>
      <c r="D689" s="530" t="s">
        <v>233</v>
      </c>
      <c r="E689" s="530" t="s">
        <v>150</v>
      </c>
      <c r="F689" s="530" t="s">
        <v>153</v>
      </c>
      <c r="G689" s="530" t="s">
        <v>223</v>
      </c>
      <c r="H689" s="530"/>
      <c r="I689" s="530"/>
      <c r="J689" s="530"/>
      <c r="K689" s="530"/>
      <c r="L689" s="530"/>
      <c r="M689" s="530"/>
      <c r="N689" s="530"/>
      <c r="O689" s="530"/>
      <c r="P689" s="530"/>
      <c r="Q689" s="530"/>
      <c r="R689" s="530"/>
      <c r="S689" s="530"/>
      <c r="T689" s="530">
        <v>282</v>
      </c>
      <c r="U689" s="530" t="s">
        <v>149</v>
      </c>
    </row>
    <row r="690" spans="1:21" ht="13.8" x14ac:dyDescent="0.3">
      <c r="A690" s="530" t="str">
        <f t="shared" si="18"/>
        <v>Conwy.2014.Accommodation - Establishments.Serviced Accommodation 4</v>
      </c>
      <c r="B690" s="530" t="s">
        <v>219</v>
      </c>
      <c r="C690" s="530" t="str">
        <f t="shared" si="19"/>
        <v>2014.Accommodation - Establishments.Serviced Accommodation 4</v>
      </c>
      <c r="D690" s="530" t="s">
        <v>233</v>
      </c>
      <c r="E690" s="530" t="s">
        <v>150</v>
      </c>
      <c r="F690" s="530" t="s">
        <v>154</v>
      </c>
      <c r="G690" s="530" t="s">
        <v>224</v>
      </c>
      <c r="H690" s="530"/>
      <c r="I690" s="530"/>
      <c r="J690" s="530"/>
      <c r="K690" s="530"/>
      <c r="L690" s="530"/>
      <c r="M690" s="530"/>
      <c r="N690" s="530"/>
      <c r="O690" s="530"/>
      <c r="P690" s="530"/>
      <c r="Q690" s="530"/>
      <c r="R690" s="530"/>
      <c r="S690" s="530"/>
      <c r="T690" s="530" t="s">
        <v>224</v>
      </c>
      <c r="U690" s="530" t="s">
        <v>149</v>
      </c>
    </row>
    <row r="691" spans="1:21" ht="13.8" x14ac:dyDescent="0.3">
      <c r="A691" s="530" t="str">
        <f t="shared" si="18"/>
        <v>Conwy.2014.Accommodation - Establishments.Serviced Accommodation 5</v>
      </c>
      <c r="B691" s="530" t="s">
        <v>219</v>
      </c>
      <c r="C691" s="530" t="str">
        <f t="shared" si="19"/>
        <v>2014.Accommodation - Establishments.Serviced Accommodation 5</v>
      </c>
      <c r="D691" s="530" t="s">
        <v>233</v>
      </c>
      <c r="E691" s="530" t="s">
        <v>150</v>
      </c>
      <c r="F691" s="530" t="s">
        <v>155</v>
      </c>
      <c r="G691" s="530" t="s">
        <v>224</v>
      </c>
      <c r="H691" s="530"/>
      <c r="I691" s="530"/>
      <c r="J691" s="530"/>
      <c r="K691" s="530"/>
      <c r="L691" s="530"/>
      <c r="M691" s="530"/>
      <c r="N691" s="530"/>
      <c r="O691" s="530"/>
      <c r="P691" s="530"/>
      <c r="Q691" s="530"/>
      <c r="R691" s="530"/>
      <c r="S691" s="530"/>
      <c r="T691" s="530" t="s">
        <v>224</v>
      </c>
      <c r="U691" s="530" t="s">
        <v>149</v>
      </c>
    </row>
    <row r="692" spans="1:21" ht="15" customHeight="1" x14ac:dyDescent="0.3">
      <c r="A692" s="530" t="str">
        <f t="shared" si="18"/>
        <v>Conwy.2014.Accommodation - Establishments.Serviced Accommodation Total</v>
      </c>
      <c r="B692" s="530" t="s">
        <v>219</v>
      </c>
      <c r="C692" s="530" t="str">
        <f t="shared" si="19"/>
        <v>2014.Accommodation - Establishments.Serviced Accommodation Total</v>
      </c>
      <c r="D692" s="530" t="s">
        <v>233</v>
      </c>
      <c r="E692" s="530" t="s">
        <v>150</v>
      </c>
      <c r="F692" s="530" t="s">
        <v>161</v>
      </c>
      <c r="G692" s="530" t="s">
        <v>225</v>
      </c>
      <c r="H692" s="530"/>
      <c r="I692" s="530"/>
      <c r="J692" s="530"/>
      <c r="K692" s="530"/>
      <c r="L692" s="530"/>
      <c r="M692" s="530"/>
      <c r="N692" s="530"/>
      <c r="O692" s="530"/>
      <c r="P692" s="530"/>
      <c r="Q692" s="530"/>
      <c r="R692" s="530"/>
      <c r="S692" s="530"/>
      <c r="T692" s="530">
        <v>412</v>
      </c>
      <c r="U692" s="530" t="s">
        <v>149</v>
      </c>
    </row>
    <row r="693" spans="1:21" ht="15" customHeight="1" x14ac:dyDescent="0.3">
      <c r="A693" s="530" t="str">
        <f t="shared" si="18"/>
        <v>Conwy.2014.Accommodation - Establishments.Non-Serviced Accommodation 1</v>
      </c>
      <c r="B693" s="530" t="s">
        <v>219</v>
      </c>
      <c r="C693" s="530" t="str">
        <f t="shared" si="19"/>
        <v>2014.Accommodation - Establishments.Non-Serviced Accommodation 1</v>
      </c>
      <c r="D693" s="530" t="s">
        <v>233</v>
      </c>
      <c r="E693" s="530" t="s">
        <v>150</v>
      </c>
      <c r="F693" s="530" t="s">
        <v>156</v>
      </c>
      <c r="G693" s="530" t="s">
        <v>226</v>
      </c>
      <c r="H693" s="530"/>
      <c r="I693" s="530"/>
      <c r="J693" s="530"/>
      <c r="K693" s="530"/>
      <c r="L693" s="530"/>
      <c r="M693" s="530"/>
      <c r="N693" s="530"/>
      <c r="O693" s="530"/>
      <c r="P693" s="530"/>
      <c r="Q693" s="530"/>
      <c r="R693" s="530"/>
      <c r="S693" s="530"/>
      <c r="T693" s="530">
        <v>525</v>
      </c>
      <c r="U693" s="530" t="s">
        <v>149</v>
      </c>
    </row>
    <row r="694" spans="1:21" ht="15" customHeight="1" x14ac:dyDescent="0.3">
      <c r="A694" s="530" t="str">
        <f t="shared" si="18"/>
        <v>Conwy.2014.Accommodation - Establishments.Non-Serviced Accommodation 2</v>
      </c>
      <c r="B694" s="530" t="s">
        <v>219</v>
      </c>
      <c r="C694" s="530" t="str">
        <f t="shared" si="19"/>
        <v>2014.Accommodation - Establishments.Non-Serviced Accommodation 2</v>
      </c>
      <c r="D694" s="530" t="s">
        <v>233</v>
      </c>
      <c r="E694" s="530" t="s">
        <v>150</v>
      </c>
      <c r="F694" s="530" t="s">
        <v>157</v>
      </c>
      <c r="G694" s="530" t="s">
        <v>227</v>
      </c>
      <c r="H694" s="530"/>
      <c r="I694" s="530"/>
      <c r="J694" s="530"/>
      <c r="K694" s="530"/>
      <c r="L694" s="530"/>
      <c r="M694" s="530"/>
      <c r="N694" s="530"/>
      <c r="O694" s="530"/>
      <c r="P694" s="530"/>
      <c r="Q694" s="530"/>
      <c r="R694" s="530"/>
      <c r="S694" s="530"/>
      <c r="T694" s="530">
        <v>89</v>
      </c>
      <c r="U694" s="530" t="s">
        <v>149</v>
      </c>
    </row>
    <row r="695" spans="1:21" ht="15" customHeight="1" x14ac:dyDescent="0.3">
      <c r="A695" s="530" t="str">
        <f t="shared" si="18"/>
        <v>Conwy.2014.Accommodation - Establishments.Non-Serviced Accommodation 3</v>
      </c>
      <c r="B695" s="530" t="s">
        <v>219</v>
      </c>
      <c r="C695" s="530" t="str">
        <f t="shared" si="19"/>
        <v>2014.Accommodation - Establishments.Non-Serviced Accommodation 3</v>
      </c>
      <c r="D695" s="530" t="s">
        <v>233</v>
      </c>
      <c r="E695" s="530" t="s">
        <v>150</v>
      </c>
      <c r="F695" s="530" t="s">
        <v>158</v>
      </c>
      <c r="G695" s="530" t="s">
        <v>228</v>
      </c>
      <c r="H695" s="530"/>
      <c r="I695" s="530"/>
      <c r="J695" s="530"/>
      <c r="K695" s="530"/>
      <c r="L695" s="530"/>
      <c r="M695" s="530"/>
      <c r="N695" s="530"/>
      <c r="O695" s="530"/>
      <c r="P695" s="530"/>
      <c r="Q695" s="530"/>
      <c r="R695" s="530"/>
      <c r="S695" s="530"/>
      <c r="T695" s="530">
        <v>50</v>
      </c>
      <c r="U695" s="530" t="s">
        <v>149</v>
      </c>
    </row>
    <row r="696" spans="1:21" ht="15" customHeight="1" x14ac:dyDescent="0.3">
      <c r="A696" s="530" t="str">
        <f t="shared" si="18"/>
        <v>Conwy.2014.Accommodation - Establishments.Non-Serviced Accommodation 4</v>
      </c>
      <c r="B696" s="530" t="s">
        <v>219</v>
      </c>
      <c r="C696" s="530" t="str">
        <f t="shared" si="19"/>
        <v>2014.Accommodation - Establishments.Non-Serviced Accommodation 4</v>
      </c>
      <c r="D696" s="530" t="s">
        <v>233</v>
      </c>
      <c r="E696" s="530" t="s">
        <v>150</v>
      </c>
      <c r="F696" s="530" t="s">
        <v>159</v>
      </c>
      <c r="G696" s="530" t="s">
        <v>229</v>
      </c>
      <c r="H696" s="530"/>
      <c r="I696" s="530"/>
      <c r="J696" s="530"/>
      <c r="K696" s="530"/>
      <c r="L696" s="530"/>
      <c r="M696" s="530"/>
      <c r="N696" s="530"/>
      <c r="O696" s="530"/>
      <c r="P696" s="530"/>
      <c r="Q696" s="530"/>
      <c r="R696" s="530"/>
      <c r="S696" s="530"/>
      <c r="T696" s="530">
        <v>0</v>
      </c>
      <c r="U696" s="530" t="s">
        <v>149</v>
      </c>
    </row>
    <row r="697" spans="1:21" ht="15" customHeight="1" x14ac:dyDescent="0.3">
      <c r="A697" s="530" t="str">
        <f t="shared" si="18"/>
        <v>Conwy.2014.Accommodation - Establishments.Non-Serviced Accommodation 5</v>
      </c>
      <c r="B697" s="530" t="s">
        <v>219</v>
      </c>
      <c r="C697" s="530" t="str">
        <f t="shared" si="19"/>
        <v>2014.Accommodation - Establishments.Non-Serviced Accommodation 5</v>
      </c>
      <c r="D697" s="530" t="s">
        <v>233</v>
      </c>
      <c r="E697" s="530" t="s">
        <v>150</v>
      </c>
      <c r="F697" s="530" t="s">
        <v>160</v>
      </c>
      <c r="G697" s="530" t="s">
        <v>224</v>
      </c>
      <c r="H697" s="530"/>
      <c r="I697" s="530"/>
      <c r="J697" s="530"/>
      <c r="K697" s="530"/>
      <c r="L697" s="530"/>
      <c r="M697" s="530"/>
      <c r="N697" s="530"/>
      <c r="O697" s="530"/>
      <c r="P697" s="530"/>
      <c r="Q697" s="530"/>
      <c r="R697" s="530"/>
      <c r="S697" s="530"/>
      <c r="T697" s="530" t="s">
        <v>224</v>
      </c>
      <c r="U697" s="530" t="s">
        <v>149</v>
      </c>
    </row>
    <row r="698" spans="1:21" ht="15" customHeight="1" x14ac:dyDescent="0.3">
      <c r="A698" s="530" t="str">
        <f t="shared" si="18"/>
        <v>Conwy.2014.Accommodation - Establishments.Non-Serviced Accommodation Total</v>
      </c>
      <c r="B698" s="530" t="s">
        <v>219</v>
      </c>
      <c r="C698" s="530" t="str">
        <f t="shared" si="19"/>
        <v>2014.Accommodation - Establishments.Non-Serviced Accommodation Total</v>
      </c>
      <c r="D698" s="530" t="s">
        <v>233</v>
      </c>
      <c r="E698" s="530" t="s">
        <v>150</v>
      </c>
      <c r="F698" s="530" t="s">
        <v>162</v>
      </c>
      <c r="G698" s="530" t="s">
        <v>230</v>
      </c>
      <c r="H698" s="530"/>
      <c r="I698" s="530"/>
      <c r="J698" s="530"/>
      <c r="K698" s="530"/>
      <c r="L698" s="530"/>
      <c r="M698" s="530"/>
      <c r="N698" s="530"/>
      <c r="O698" s="530"/>
      <c r="P698" s="530"/>
      <c r="Q698" s="530"/>
      <c r="R698" s="530"/>
      <c r="S698" s="530"/>
      <c r="T698" s="530">
        <v>664</v>
      </c>
      <c r="U698" s="530" t="s">
        <v>149</v>
      </c>
    </row>
    <row r="699" spans="1:21" ht="15" customHeight="1" x14ac:dyDescent="0.3">
      <c r="A699" s="530" t="str">
        <f t="shared" si="18"/>
        <v>Conwy.2014.Accommodation - Establishments.All Accommodation Types</v>
      </c>
      <c r="B699" s="530" t="s">
        <v>219</v>
      </c>
      <c r="C699" s="530" t="str">
        <f t="shared" si="19"/>
        <v>2014.Accommodation - Establishments.All Accommodation Types</v>
      </c>
      <c r="D699" s="530" t="s">
        <v>233</v>
      </c>
      <c r="E699" s="530" t="s">
        <v>150</v>
      </c>
      <c r="F699" s="530" t="s">
        <v>163</v>
      </c>
      <c r="G699" s="530" t="s">
        <v>38</v>
      </c>
      <c r="H699" s="530"/>
      <c r="I699" s="530"/>
      <c r="J699" s="530"/>
      <c r="K699" s="530"/>
      <c r="L699" s="530"/>
      <c r="M699" s="530"/>
      <c r="N699" s="530"/>
      <c r="O699" s="530"/>
      <c r="P699" s="530"/>
      <c r="Q699" s="530"/>
      <c r="R699" s="530"/>
      <c r="S699" s="530"/>
      <c r="T699" s="530">
        <v>1076</v>
      </c>
      <c r="U699" s="530" t="s">
        <v>149</v>
      </c>
    </row>
    <row r="700" spans="1:21" ht="13.8" x14ac:dyDescent="0.3">
      <c r="A700" s="530" t="str">
        <f t="shared" si="18"/>
        <v>Conwy.2014.Accommodation - Bed Spaces.Serviced Accommodation 1</v>
      </c>
      <c r="B700" s="530" t="s">
        <v>219</v>
      </c>
      <c r="C700" s="530" t="str">
        <f t="shared" si="19"/>
        <v>2014.Accommodation - Bed Spaces.Serviced Accommodation 1</v>
      </c>
      <c r="D700" s="530" t="s">
        <v>233</v>
      </c>
      <c r="E700" s="530" t="s">
        <v>164</v>
      </c>
      <c r="F700" s="530" t="s">
        <v>151</v>
      </c>
      <c r="G700" s="530" t="s">
        <v>221</v>
      </c>
      <c r="H700" s="530"/>
      <c r="I700" s="530"/>
      <c r="J700" s="530"/>
      <c r="K700" s="530"/>
      <c r="L700" s="530"/>
      <c r="M700" s="530"/>
      <c r="N700" s="530"/>
      <c r="O700" s="530"/>
      <c r="P700" s="530"/>
      <c r="Q700" s="530"/>
      <c r="R700" s="530"/>
      <c r="S700" s="530"/>
      <c r="T700" s="530">
        <v>3943</v>
      </c>
      <c r="U700" s="530" t="s">
        <v>58</v>
      </c>
    </row>
    <row r="701" spans="1:21" ht="13.8" x14ac:dyDescent="0.3">
      <c r="A701" s="530" t="str">
        <f t="shared" si="18"/>
        <v>Conwy.2014.Accommodation - Bed Spaces.Serviced Accommodation 2</v>
      </c>
      <c r="B701" s="530" t="s">
        <v>219</v>
      </c>
      <c r="C701" s="530" t="str">
        <f t="shared" si="19"/>
        <v>2014.Accommodation - Bed Spaces.Serviced Accommodation 2</v>
      </c>
      <c r="D701" s="530" t="s">
        <v>233</v>
      </c>
      <c r="E701" s="530" t="s">
        <v>164</v>
      </c>
      <c r="F701" s="530" t="s">
        <v>152</v>
      </c>
      <c r="G701" s="530" t="s">
        <v>222</v>
      </c>
      <c r="H701" s="530"/>
      <c r="I701" s="530"/>
      <c r="J701" s="530"/>
      <c r="K701" s="530"/>
      <c r="L701" s="530"/>
      <c r="M701" s="530"/>
      <c r="N701" s="530"/>
      <c r="O701" s="530"/>
      <c r="P701" s="530"/>
      <c r="Q701" s="530"/>
      <c r="R701" s="530"/>
      <c r="S701" s="530"/>
      <c r="T701" s="530">
        <v>4392</v>
      </c>
      <c r="U701" s="530" t="s">
        <v>58</v>
      </c>
    </row>
    <row r="702" spans="1:21" ht="13.8" x14ac:dyDescent="0.3">
      <c r="A702" s="530" t="str">
        <f t="shared" si="18"/>
        <v>Conwy.2014.Accommodation - Bed Spaces.Serviced Accommodation 3</v>
      </c>
      <c r="B702" s="530" t="s">
        <v>219</v>
      </c>
      <c r="C702" s="530" t="str">
        <f t="shared" si="19"/>
        <v>2014.Accommodation - Bed Spaces.Serviced Accommodation 3</v>
      </c>
      <c r="D702" s="530" t="s">
        <v>233</v>
      </c>
      <c r="E702" s="530" t="s">
        <v>164</v>
      </c>
      <c r="F702" s="530" t="s">
        <v>153</v>
      </c>
      <c r="G702" s="530" t="s">
        <v>223</v>
      </c>
      <c r="H702" s="530"/>
      <c r="I702" s="530"/>
      <c r="J702" s="530"/>
      <c r="K702" s="530"/>
      <c r="L702" s="530"/>
      <c r="M702" s="530"/>
      <c r="N702" s="530"/>
      <c r="O702" s="530"/>
      <c r="P702" s="530"/>
      <c r="Q702" s="530"/>
      <c r="R702" s="530"/>
      <c r="S702" s="530"/>
      <c r="T702" s="530">
        <v>3375</v>
      </c>
      <c r="U702" s="530" t="s">
        <v>58</v>
      </c>
    </row>
    <row r="703" spans="1:21" ht="13.8" x14ac:dyDescent="0.3">
      <c r="A703" s="530" t="str">
        <f t="shared" si="18"/>
        <v>Conwy.2014.Accommodation - Bed Spaces.Serviced Accommodation 4</v>
      </c>
      <c r="B703" s="530" t="s">
        <v>219</v>
      </c>
      <c r="C703" s="530" t="str">
        <f t="shared" si="19"/>
        <v>2014.Accommodation - Bed Spaces.Serviced Accommodation 4</v>
      </c>
      <c r="D703" s="530" t="s">
        <v>233</v>
      </c>
      <c r="E703" s="530" t="s">
        <v>164</v>
      </c>
      <c r="F703" s="530" t="s">
        <v>154</v>
      </c>
      <c r="G703" s="530" t="s">
        <v>224</v>
      </c>
      <c r="H703" s="530"/>
      <c r="I703" s="530"/>
      <c r="J703" s="530"/>
      <c r="K703" s="530"/>
      <c r="L703" s="530"/>
      <c r="M703" s="530"/>
      <c r="N703" s="530"/>
      <c r="O703" s="530"/>
      <c r="P703" s="530"/>
      <c r="Q703" s="530"/>
      <c r="R703" s="530"/>
      <c r="S703" s="530"/>
      <c r="T703" s="530" t="s">
        <v>224</v>
      </c>
      <c r="U703" s="530" t="s">
        <v>58</v>
      </c>
    </row>
    <row r="704" spans="1:21" ht="13.8" x14ac:dyDescent="0.3">
      <c r="A704" s="530" t="str">
        <f t="shared" si="18"/>
        <v>Conwy.2014.Accommodation - Bed Spaces.Serviced Accommodation 5</v>
      </c>
      <c r="B704" s="530" t="s">
        <v>219</v>
      </c>
      <c r="C704" s="530" t="str">
        <f t="shared" si="19"/>
        <v>2014.Accommodation - Bed Spaces.Serviced Accommodation 5</v>
      </c>
      <c r="D704" s="530" t="s">
        <v>233</v>
      </c>
      <c r="E704" s="530" t="s">
        <v>164</v>
      </c>
      <c r="F704" s="530" t="s">
        <v>155</v>
      </c>
      <c r="G704" s="530" t="s">
        <v>224</v>
      </c>
      <c r="H704" s="530"/>
      <c r="I704" s="530"/>
      <c r="J704" s="530"/>
      <c r="K704" s="530"/>
      <c r="L704" s="530"/>
      <c r="M704" s="530"/>
      <c r="N704" s="530"/>
      <c r="O704" s="530"/>
      <c r="P704" s="530"/>
      <c r="Q704" s="530"/>
      <c r="R704" s="530"/>
      <c r="S704" s="530"/>
      <c r="T704" s="530" t="s">
        <v>224</v>
      </c>
      <c r="U704" s="530" t="s">
        <v>58</v>
      </c>
    </row>
    <row r="705" spans="1:21" ht="13.8" x14ac:dyDescent="0.3">
      <c r="A705" s="530" t="str">
        <f t="shared" si="18"/>
        <v>Conwy.2014.Accommodation - Bed Spaces.Serviced Accommodation Total</v>
      </c>
      <c r="B705" s="530" t="s">
        <v>219</v>
      </c>
      <c r="C705" s="530" t="str">
        <f t="shared" si="19"/>
        <v>2014.Accommodation - Bed Spaces.Serviced Accommodation Total</v>
      </c>
      <c r="D705" s="530" t="s">
        <v>233</v>
      </c>
      <c r="E705" s="530" t="s">
        <v>164</v>
      </c>
      <c r="F705" s="530" t="s">
        <v>161</v>
      </c>
      <c r="G705" s="530" t="s">
        <v>225</v>
      </c>
      <c r="H705" s="530"/>
      <c r="I705" s="530"/>
      <c r="J705" s="530"/>
      <c r="K705" s="530"/>
      <c r="L705" s="530"/>
      <c r="M705" s="530"/>
      <c r="N705" s="530"/>
      <c r="O705" s="530"/>
      <c r="P705" s="530"/>
      <c r="Q705" s="530"/>
      <c r="R705" s="530"/>
      <c r="S705" s="530"/>
      <c r="T705" s="530">
        <v>11710</v>
      </c>
      <c r="U705" s="530" t="s">
        <v>58</v>
      </c>
    </row>
    <row r="706" spans="1:21" ht="13.8" x14ac:dyDescent="0.3">
      <c r="A706" s="530" t="str">
        <f t="shared" si="18"/>
        <v>Conwy.2014.Accommodation - Bed Spaces.Non-Serviced Accommodation 1</v>
      </c>
      <c r="B706" s="530" t="s">
        <v>219</v>
      </c>
      <c r="C706" s="530" t="str">
        <f t="shared" si="19"/>
        <v>2014.Accommodation - Bed Spaces.Non-Serviced Accommodation 1</v>
      </c>
      <c r="D706" s="530" t="s">
        <v>233</v>
      </c>
      <c r="E706" s="530" t="s">
        <v>164</v>
      </c>
      <c r="F706" s="530" t="s">
        <v>156</v>
      </c>
      <c r="G706" s="530" t="s">
        <v>226</v>
      </c>
      <c r="H706" s="530"/>
      <c r="I706" s="530"/>
      <c r="J706" s="530"/>
      <c r="K706" s="530"/>
      <c r="L706" s="530"/>
      <c r="M706" s="530"/>
      <c r="N706" s="530"/>
      <c r="O706" s="530"/>
      <c r="P706" s="530"/>
      <c r="Q706" s="530"/>
      <c r="R706" s="530"/>
      <c r="S706" s="530"/>
      <c r="T706" s="530">
        <v>4373</v>
      </c>
      <c r="U706" s="530" t="s">
        <v>58</v>
      </c>
    </row>
    <row r="707" spans="1:21" ht="13.8" x14ac:dyDescent="0.3">
      <c r="A707" s="530" t="str">
        <f t="shared" si="18"/>
        <v>Conwy.2014.Accommodation - Bed Spaces.Non-Serviced Accommodation 2</v>
      </c>
      <c r="B707" s="530" t="s">
        <v>219</v>
      </c>
      <c r="C707" s="530" t="str">
        <f t="shared" si="19"/>
        <v>2014.Accommodation - Bed Spaces.Non-Serviced Accommodation 2</v>
      </c>
      <c r="D707" s="530" t="s">
        <v>233</v>
      </c>
      <c r="E707" s="530" t="s">
        <v>164</v>
      </c>
      <c r="F707" s="530" t="s">
        <v>157</v>
      </c>
      <c r="G707" s="530" t="s">
        <v>227</v>
      </c>
      <c r="H707" s="530"/>
      <c r="I707" s="530"/>
      <c r="J707" s="530"/>
      <c r="K707" s="530"/>
      <c r="L707" s="530"/>
      <c r="M707" s="530"/>
      <c r="N707" s="530"/>
      <c r="O707" s="530"/>
      <c r="P707" s="530"/>
      <c r="Q707" s="530"/>
      <c r="R707" s="530"/>
      <c r="S707" s="530"/>
      <c r="T707" s="530">
        <v>7107.5513948698754</v>
      </c>
      <c r="U707" s="530" t="s">
        <v>58</v>
      </c>
    </row>
    <row r="708" spans="1:21" ht="13.8" x14ac:dyDescent="0.3">
      <c r="A708" s="530" t="str">
        <f t="shared" si="18"/>
        <v>Conwy.2014.Accommodation - Bed Spaces.Non-Serviced Accommodation 3</v>
      </c>
      <c r="B708" s="530" t="s">
        <v>219</v>
      </c>
      <c r="C708" s="530" t="str">
        <f t="shared" si="19"/>
        <v>2014.Accommodation - Bed Spaces.Non-Serviced Accommodation 3</v>
      </c>
      <c r="D708" s="530" t="s">
        <v>233</v>
      </c>
      <c r="E708" s="530" t="s">
        <v>164</v>
      </c>
      <c r="F708" s="530" t="s">
        <v>158</v>
      </c>
      <c r="G708" s="530" t="s">
        <v>228</v>
      </c>
      <c r="H708" s="530"/>
      <c r="I708" s="530"/>
      <c r="J708" s="530"/>
      <c r="K708" s="530"/>
      <c r="L708" s="530"/>
      <c r="M708" s="530"/>
      <c r="N708" s="530"/>
      <c r="O708" s="530"/>
      <c r="P708" s="530"/>
      <c r="Q708" s="530"/>
      <c r="R708" s="530"/>
      <c r="S708" s="530"/>
      <c r="T708" s="530">
        <v>8715</v>
      </c>
      <c r="U708" s="530" t="s">
        <v>58</v>
      </c>
    </row>
    <row r="709" spans="1:21" ht="13.8" x14ac:dyDescent="0.3">
      <c r="A709" s="530" t="str">
        <f t="shared" si="18"/>
        <v>Conwy.2014.Accommodation - Bed Spaces.Non-Serviced Accommodation 4</v>
      </c>
      <c r="B709" s="530" t="s">
        <v>219</v>
      </c>
      <c r="C709" s="530" t="str">
        <f t="shared" si="19"/>
        <v>2014.Accommodation - Bed Spaces.Non-Serviced Accommodation 4</v>
      </c>
      <c r="D709" s="530" t="s">
        <v>233</v>
      </c>
      <c r="E709" s="530" t="s">
        <v>164</v>
      </c>
      <c r="F709" s="530" t="s">
        <v>159</v>
      </c>
      <c r="G709" s="530" t="s">
        <v>229</v>
      </c>
      <c r="H709" s="530"/>
      <c r="I709" s="530"/>
      <c r="J709" s="530"/>
      <c r="K709" s="530"/>
      <c r="L709" s="530"/>
      <c r="M709" s="530"/>
      <c r="N709" s="530"/>
      <c r="O709" s="530"/>
      <c r="P709" s="530"/>
      <c r="Q709" s="530"/>
      <c r="R709" s="530"/>
      <c r="S709" s="530"/>
      <c r="T709" s="530">
        <v>29189.544841789928</v>
      </c>
      <c r="U709" s="530" t="s">
        <v>58</v>
      </c>
    </row>
    <row r="710" spans="1:21" ht="13.8" x14ac:dyDescent="0.3">
      <c r="A710" s="530" t="str">
        <f t="shared" si="18"/>
        <v>Conwy.2014.Accommodation - Bed Spaces.Non-Serviced Accommodation 5</v>
      </c>
      <c r="B710" s="530" t="s">
        <v>219</v>
      </c>
      <c r="C710" s="530" t="str">
        <f t="shared" si="19"/>
        <v>2014.Accommodation - Bed Spaces.Non-Serviced Accommodation 5</v>
      </c>
      <c r="D710" s="530" t="s">
        <v>233</v>
      </c>
      <c r="E710" s="530" t="s">
        <v>164</v>
      </c>
      <c r="F710" s="530" t="s">
        <v>160</v>
      </c>
      <c r="G710" s="530" t="s">
        <v>224</v>
      </c>
      <c r="H710" s="530"/>
      <c r="I710" s="530"/>
      <c r="J710" s="530"/>
      <c r="K710" s="530"/>
      <c r="L710" s="530"/>
      <c r="M710" s="530"/>
      <c r="N710" s="530"/>
      <c r="O710" s="530"/>
      <c r="P710" s="530"/>
      <c r="Q710" s="530"/>
      <c r="R710" s="530"/>
      <c r="S710" s="530"/>
      <c r="T710" s="530" t="s">
        <v>224</v>
      </c>
      <c r="U710" s="530" t="s">
        <v>58</v>
      </c>
    </row>
    <row r="711" spans="1:21" ht="13.8" x14ac:dyDescent="0.3">
      <c r="A711" s="530" t="str">
        <f t="shared" si="18"/>
        <v>Conwy.2014.Accommodation - Bed Spaces.Non-Serviced Accommodation Total</v>
      </c>
      <c r="B711" s="530" t="s">
        <v>219</v>
      </c>
      <c r="C711" s="530" t="str">
        <f t="shared" si="19"/>
        <v>2014.Accommodation - Bed Spaces.Non-Serviced Accommodation Total</v>
      </c>
      <c r="D711" s="530" t="s">
        <v>233</v>
      </c>
      <c r="E711" s="530" t="s">
        <v>164</v>
      </c>
      <c r="F711" s="530" t="s">
        <v>162</v>
      </c>
      <c r="G711" s="530" t="s">
        <v>230</v>
      </c>
      <c r="H711" s="530"/>
      <c r="I711" s="530"/>
      <c r="J711" s="530"/>
      <c r="K711" s="530"/>
      <c r="L711" s="530"/>
      <c r="M711" s="530"/>
      <c r="N711" s="530"/>
      <c r="O711" s="530"/>
      <c r="P711" s="530"/>
      <c r="Q711" s="530"/>
      <c r="R711" s="530"/>
      <c r="S711" s="530"/>
      <c r="T711" s="530">
        <v>49385.096236659803</v>
      </c>
      <c r="U711" s="530" t="s">
        <v>58</v>
      </c>
    </row>
    <row r="712" spans="1:21" ht="13.8" x14ac:dyDescent="0.3">
      <c r="A712" s="530" t="str">
        <f t="shared" si="18"/>
        <v>Conwy.2014.Accommodation - Bed Spaces.All Accommodation Types</v>
      </c>
      <c r="B712" s="530" t="s">
        <v>219</v>
      </c>
      <c r="C712" s="530" t="str">
        <f t="shared" si="19"/>
        <v>2014.Accommodation - Bed Spaces.All Accommodation Types</v>
      </c>
      <c r="D712" s="530" t="s">
        <v>233</v>
      </c>
      <c r="E712" s="530" t="s">
        <v>164</v>
      </c>
      <c r="F712" s="530" t="s">
        <v>163</v>
      </c>
      <c r="G712" s="530" t="s">
        <v>38</v>
      </c>
      <c r="H712" s="530"/>
      <c r="I712" s="530"/>
      <c r="J712" s="530"/>
      <c r="K712" s="530"/>
      <c r="L712" s="530"/>
      <c r="M712" s="530"/>
      <c r="N712" s="530"/>
      <c r="O712" s="530"/>
      <c r="P712" s="530"/>
      <c r="Q712" s="530"/>
      <c r="R712" s="530"/>
      <c r="S712" s="530"/>
      <c r="T712" s="530">
        <v>61095.096236659803</v>
      </c>
      <c r="U712" s="530" t="s">
        <v>58</v>
      </c>
    </row>
    <row r="713" spans="1:21" ht="13.8" x14ac:dyDescent="0.3">
      <c r="A713" s="530" t="str">
        <f t="shared" ref="A713:A816" si="20">B713&amp;"."&amp;D713&amp;"."&amp;E713&amp;"."&amp;F713</f>
        <v>Conwy.2015.Accommodation - Establishments.Serviced Accommodation 1</v>
      </c>
      <c r="B713" s="530" t="s">
        <v>219</v>
      </c>
      <c r="C713" s="530" t="str">
        <f t="shared" ref="C713:C816" si="21">D713&amp;"."&amp;E713&amp;"."&amp;F713</f>
        <v>2015.Accommodation - Establishments.Serviced Accommodation 1</v>
      </c>
      <c r="D713" s="530" t="s">
        <v>234</v>
      </c>
      <c r="E713" s="530" t="s">
        <v>150</v>
      </c>
      <c r="F713" s="530" t="s">
        <v>151</v>
      </c>
      <c r="G713" s="530" t="s">
        <v>221</v>
      </c>
      <c r="H713" s="530"/>
      <c r="I713" s="530"/>
      <c r="J713" s="530"/>
      <c r="K713" s="530"/>
      <c r="L713" s="530"/>
      <c r="M713" s="530"/>
      <c r="N713" s="530"/>
      <c r="O713" s="530"/>
      <c r="P713" s="530"/>
      <c r="Q713" s="530"/>
      <c r="R713" s="530"/>
      <c r="S713" s="530"/>
      <c r="T713" s="530">
        <v>26</v>
      </c>
      <c r="U713" s="530" t="s">
        <v>149</v>
      </c>
    </row>
    <row r="714" spans="1:21" ht="13.8" x14ac:dyDescent="0.3">
      <c r="A714" s="530" t="str">
        <f t="shared" si="20"/>
        <v>Conwy.2015.Accommodation - Establishments.Serviced Accommodation 2</v>
      </c>
      <c r="B714" s="530" t="s">
        <v>219</v>
      </c>
      <c r="C714" s="530" t="str">
        <f t="shared" si="21"/>
        <v>2015.Accommodation - Establishments.Serviced Accommodation 2</v>
      </c>
      <c r="D714" s="530" t="s">
        <v>234</v>
      </c>
      <c r="E714" s="530" t="s">
        <v>150</v>
      </c>
      <c r="F714" s="530" t="s">
        <v>152</v>
      </c>
      <c r="G714" s="530" t="s">
        <v>222</v>
      </c>
      <c r="H714" s="530"/>
      <c r="I714" s="530"/>
      <c r="J714" s="530"/>
      <c r="K714" s="530"/>
      <c r="L714" s="530"/>
      <c r="M714" s="530"/>
      <c r="N714" s="530"/>
      <c r="O714" s="530"/>
      <c r="P714" s="530"/>
      <c r="Q714" s="530"/>
      <c r="R714" s="530"/>
      <c r="S714" s="530"/>
      <c r="T714" s="530">
        <v>104</v>
      </c>
      <c r="U714" s="530" t="s">
        <v>149</v>
      </c>
    </row>
    <row r="715" spans="1:21" ht="13.8" x14ac:dyDescent="0.3">
      <c r="A715" s="530" t="str">
        <f t="shared" si="20"/>
        <v>Conwy.2015.Accommodation - Establishments.Serviced Accommodation 3</v>
      </c>
      <c r="B715" s="530" t="s">
        <v>219</v>
      </c>
      <c r="C715" s="530" t="str">
        <f t="shared" si="21"/>
        <v>2015.Accommodation - Establishments.Serviced Accommodation 3</v>
      </c>
      <c r="D715" s="530" t="s">
        <v>234</v>
      </c>
      <c r="E715" s="530" t="s">
        <v>150</v>
      </c>
      <c r="F715" s="530" t="s">
        <v>153</v>
      </c>
      <c r="G715" s="530" t="s">
        <v>223</v>
      </c>
      <c r="H715" s="530"/>
      <c r="I715" s="530"/>
      <c r="J715" s="530"/>
      <c r="K715" s="530"/>
      <c r="L715" s="530"/>
      <c r="M715" s="530"/>
      <c r="N715" s="530"/>
      <c r="O715" s="530"/>
      <c r="P715" s="530"/>
      <c r="Q715" s="530"/>
      <c r="R715" s="530"/>
      <c r="S715" s="530"/>
      <c r="T715" s="530">
        <v>282</v>
      </c>
      <c r="U715" s="530" t="s">
        <v>149</v>
      </c>
    </row>
    <row r="716" spans="1:21" ht="13.8" x14ac:dyDescent="0.3">
      <c r="A716" s="530" t="str">
        <f t="shared" si="20"/>
        <v>Conwy.2015.Accommodation - Establishments.Serviced Accommodation 4</v>
      </c>
      <c r="B716" s="530" t="s">
        <v>219</v>
      </c>
      <c r="C716" s="530" t="str">
        <f t="shared" si="21"/>
        <v>2015.Accommodation - Establishments.Serviced Accommodation 4</v>
      </c>
      <c r="D716" s="530" t="s">
        <v>234</v>
      </c>
      <c r="E716" s="530" t="s">
        <v>150</v>
      </c>
      <c r="F716" s="530" t="s">
        <v>154</v>
      </c>
      <c r="G716" s="530" t="s">
        <v>224</v>
      </c>
      <c r="H716" s="530"/>
      <c r="I716" s="530"/>
      <c r="J716" s="530"/>
      <c r="K716" s="530"/>
      <c r="L716" s="530"/>
      <c r="M716" s="530"/>
      <c r="N716" s="530"/>
      <c r="O716" s="530"/>
      <c r="P716" s="530"/>
      <c r="Q716" s="530"/>
      <c r="R716" s="530"/>
      <c r="S716" s="530"/>
      <c r="T716" s="530" t="s">
        <v>224</v>
      </c>
      <c r="U716" s="530" t="s">
        <v>149</v>
      </c>
    </row>
    <row r="717" spans="1:21" ht="13.8" x14ac:dyDescent="0.3">
      <c r="A717" s="530" t="str">
        <f t="shared" si="20"/>
        <v>Conwy.2015.Accommodation - Establishments.Serviced Accommodation 5</v>
      </c>
      <c r="B717" s="530" t="s">
        <v>219</v>
      </c>
      <c r="C717" s="530" t="str">
        <f t="shared" si="21"/>
        <v>2015.Accommodation - Establishments.Serviced Accommodation 5</v>
      </c>
      <c r="D717" s="530" t="s">
        <v>234</v>
      </c>
      <c r="E717" s="530" t="s">
        <v>150</v>
      </c>
      <c r="F717" s="530" t="s">
        <v>155</v>
      </c>
      <c r="G717" s="530" t="s">
        <v>224</v>
      </c>
      <c r="H717" s="530"/>
      <c r="I717" s="530"/>
      <c r="J717" s="530"/>
      <c r="K717" s="530"/>
      <c r="L717" s="530"/>
      <c r="M717" s="530"/>
      <c r="N717" s="530"/>
      <c r="O717" s="530"/>
      <c r="P717" s="530"/>
      <c r="Q717" s="530"/>
      <c r="R717" s="530"/>
      <c r="S717" s="530"/>
      <c r="T717" s="530" t="s">
        <v>224</v>
      </c>
      <c r="U717" s="530" t="s">
        <v>149</v>
      </c>
    </row>
    <row r="718" spans="1:21" ht="15" customHeight="1" x14ac:dyDescent="0.3">
      <c r="A718" s="530" t="str">
        <f t="shared" si="20"/>
        <v>Conwy.2015.Accommodation - Establishments.Serviced Accommodation Total</v>
      </c>
      <c r="B718" s="530" t="s">
        <v>219</v>
      </c>
      <c r="C718" s="530" t="str">
        <f t="shared" si="21"/>
        <v>2015.Accommodation - Establishments.Serviced Accommodation Total</v>
      </c>
      <c r="D718" s="530" t="s">
        <v>234</v>
      </c>
      <c r="E718" s="530" t="s">
        <v>150</v>
      </c>
      <c r="F718" s="530" t="s">
        <v>161</v>
      </c>
      <c r="G718" s="530" t="s">
        <v>225</v>
      </c>
      <c r="H718" s="530"/>
      <c r="I718" s="530"/>
      <c r="J718" s="530"/>
      <c r="K718" s="530"/>
      <c r="L718" s="530"/>
      <c r="M718" s="530"/>
      <c r="N718" s="530"/>
      <c r="O718" s="530"/>
      <c r="P718" s="530"/>
      <c r="Q718" s="530"/>
      <c r="R718" s="530"/>
      <c r="S718" s="530"/>
      <c r="T718" s="530">
        <v>412</v>
      </c>
      <c r="U718" s="530" t="s">
        <v>149</v>
      </c>
    </row>
    <row r="719" spans="1:21" ht="15" customHeight="1" x14ac:dyDescent="0.3">
      <c r="A719" s="530" t="str">
        <f t="shared" si="20"/>
        <v>Conwy.2015.Accommodation - Establishments.Non-Serviced Accommodation 1</v>
      </c>
      <c r="B719" s="530" t="s">
        <v>219</v>
      </c>
      <c r="C719" s="530" t="str">
        <f t="shared" si="21"/>
        <v>2015.Accommodation - Establishments.Non-Serviced Accommodation 1</v>
      </c>
      <c r="D719" s="530" t="s">
        <v>234</v>
      </c>
      <c r="E719" s="530" t="s">
        <v>150</v>
      </c>
      <c r="F719" s="530" t="s">
        <v>156</v>
      </c>
      <c r="G719" s="530" t="s">
        <v>226</v>
      </c>
      <c r="H719" s="530"/>
      <c r="I719" s="530"/>
      <c r="J719" s="530"/>
      <c r="K719" s="530"/>
      <c r="L719" s="530"/>
      <c r="M719" s="530"/>
      <c r="N719" s="530"/>
      <c r="O719" s="530"/>
      <c r="P719" s="530"/>
      <c r="Q719" s="530"/>
      <c r="R719" s="530"/>
      <c r="S719" s="530"/>
      <c r="T719" s="530">
        <v>525</v>
      </c>
      <c r="U719" s="530" t="s">
        <v>149</v>
      </c>
    </row>
    <row r="720" spans="1:21" ht="15" customHeight="1" x14ac:dyDescent="0.3">
      <c r="A720" s="530" t="str">
        <f t="shared" si="20"/>
        <v>Conwy.2015.Accommodation - Establishments.Non-Serviced Accommodation 2</v>
      </c>
      <c r="B720" s="530" t="s">
        <v>219</v>
      </c>
      <c r="C720" s="530" t="str">
        <f t="shared" si="21"/>
        <v>2015.Accommodation - Establishments.Non-Serviced Accommodation 2</v>
      </c>
      <c r="D720" s="530" t="s">
        <v>234</v>
      </c>
      <c r="E720" s="530" t="s">
        <v>150</v>
      </c>
      <c r="F720" s="530" t="s">
        <v>157</v>
      </c>
      <c r="G720" s="530" t="s">
        <v>227</v>
      </c>
      <c r="H720" s="530"/>
      <c r="I720" s="530"/>
      <c r="J720" s="530"/>
      <c r="K720" s="530"/>
      <c r="L720" s="530"/>
      <c r="M720" s="530"/>
      <c r="N720" s="530"/>
      <c r="O720" s="530"/>
      <c r="P720" s="530"/>
      <c r="Q720" s="530"/>
      <c r="R720" s="530"/>
      <c r="S720" s="530"/>
      <c r="T720" s="530">
        <v>89</v>
      </c>
      <c r="U720" s="530" t="s">
        <v>149</v>
      </c>
    </row>
    <row r="721" spans="1:21" ht="15" customHeight="1" x14ac:dyDescent="0.3">
      <c r="A721" s="530" t="str">
        <f t="shared" si="20"/>
        <v>Conwy.2015.Accommodation - Establishments.Non-Serviced Accommodation 3</v>
      </c>
      <c r="B721" s="530" t="s">
        <v>219</v>
      </c>
      <c r="C721" s="530" t="str">
        <f t="shared" si="21"/>
        <v>2015.Accommodation - Establishments.Non-Serviced Accommodation 3</v>
      </c>
      <c r="D721" s="530" t="s">
        <v>234</v>
      </c>
      <c r="E721" s="530" t="s">
        <v>150</v>
      </c>
      <c r="F721" s="530" t="s">
        <v>158</v>
      </c>
      <c r="G721" s="530" t="s">
        <v>228</v>
      </c>
      <c r="H721" s="530"/>
      <c r="I721" s="530"/>
      <c r="J721" s="530"/>
      <c r="K721" s="530"/>
      <c r="L721" s="530"/>
      <c r="M721" s="530"/>
      <c r="N721" s="530"/>
      <c r="O721" s="530"/>
      <c r="P721" s="530"/>
      <c r="Q721" s="530"/>
      <c r="R721" s="530"/>
      <c r="S721" s="530"/>
      <c r="T721" s="530">
        <v>50</v>
      </c>
      <c r="U721" s="530" t="s">
        <v>149</v>
      </c>
    </row>
    <row r="722" spans="1:21" ht="15" customHeight="1" x14ac:dyDescent="0.3">
      <c r="A722" s="530" t="str">
        <f t="shared" si="20"/>
        <v>Conwy.2015.Accommodation - Establishments.Non-Serviced Accommodation 4</v>
      </c>
      <c r="B722" s="530" t="s">
        <v>219</v>
      </c>
      <c r="C722" s="530" t="str">
        <f t="shared" si="21"/>
        <v>2015.Accommodation - Establishments.Non-Serviced Accommodation 4</v>
      </c>
      <c r="D722" s="530" t="s">
        <v>234</v>
      </c>
      <c r="E722" s="530" t="s">
        <v>150</v>
      </c>
      <c r="F722" s="530" t="s">
        <v>159</v>
      </c>
      <c r="G722" s="530" t="s">
        <v>229</v>
      </c>
      <c r="H722" s="530"/>
      <c r="I722" s="530"/>
      <c r="J722" s="530"/>
      <c r="K722" s="530"/>
      <c r="L722" s="530"/>
      <c r="M722" s="530"/>
      <c r="N722" s="530"/>
      <c r="O722" s="530"/>
      <c r="P722" s="530"/>
      <c r="Q722" s="530"/>
      <c r="R722" s="530"/>
      <c r="S722" s="530"/>
      <c r="T722" s="530">
        <v>0</v>
      </c>
      <c r="U722" s="530" t="s">
        <v>149</v>
      </c>
    </row>
    <row r="723" spans="1:21" ht="15" customHeight="1" x14ac:dyDescent="0.3">
      <c r="A723" s="530" t="str">
        <f t="shared" si="20"/>
        <v>Conwy.2015.Accommodation - Establishments.Non-Serviced Accommodation 5</v>
      </c>
      <c r="B723" s="530" t="s">
        <v>219</v>
      </c>
      <c r="C723" s="530" t="str">
        <f t="shared" si="21"/>
        <v>2015.Accommodation - Establishments.Non-Serviced Accommodation 5</v>
      </c>
      <c r="D723" s="530" t="s">
        <v>234</v>
      </c>
      <c r="E723" s="530" t="s">
        <v>150</v>
      </c>
      <c r="F723" s="530" t="s">
        <v>160</v>
      </c>
      <c r="G723" s="530" t="s">
        <v>224</v>
      </c>
      <c r="H723" s="530"/>
      <c r="I723" s="530"/>
      <c r="J723" s="530"/>
      <c r="K723" s="530"/>
      <c r="L723" s="530"/>
      <c r="M723" s="530"/>
      <c r="N723" s="530"/>
      <c r="O723" s="530"/>
      <c r="P723" s="530"/>
      <c r="Q723" s="530"/>
      <c r="R723" s="530"/>
      <c r="S723" s="530"/>
      <c r="T723" s="530" t="s">
        <v>224</v>
      </c>
      <c r="U723" s="530" t="s">
        <v>149</v>
      </c>
    </row>
    <row r="724" spans="1:21" ht="15" customHeight="1" x14ac:dyDescent="0.3">
      <c r="A724" s="530" t="str">
        <f t="shared" si="20"/>
        <v>Conwy.2015.Accommodation - Establishments.Non-Serviced Accommodation Total</v>
      </c>
      <c r="B724" s="530" t="s">
        <v>219</v>
      </c>
      <c r="C724" s="530" t="str">
        <f t="shared" si="21"/>
        <v>2015.Accommodation - Establishments.Non-Serviced Accommodation Total</v>
      </c>
      <c r="D724" s="530" t="s">
        <v>234</v>
      </c>
      <c r="E724" s="530" t="s">
        <v>150</v>
      </c>
      <c r="F724" s="530" t="s">
        <v>162</v>
      </c>
      <c r="G724" s="530" t="s">
        <v>230</v>
      </c>
      <c r="H724" s="530"/>
      <c r="I724" s="530"/>
      <c r="J724" s="530"/>
      <c r="K724" s="530"/>
      <c r="L724" s="530"/>
      <c r="M724" s="530"/>
      <c r="N724" s="530"/>
      <c r="O724" s="530"/>
      <c r="P724" s="530"/>
      <c r="Q724" s="530"/>
      <c r="R724" s="530"/>
      <c r="S724" s="530"/>
      <c r="T724" s="530">
        <v>664</v>
      </c>
      <c r="U724" s="530" t="s">
        <v>149</v>
      </c>
    </row>
    <row r="725" spans="1:21" ht="15" customHeight="1" x14ac:dyDescent="0.3">
      <c r="A725" s="530" t="str">
        <f t="shared" si="20"/>
        <v>Conwy.2015.Accommodation - Establishments.All Accommodation Types</v>
      </c>
      <c r="B725" s="530" t="s">
        <v>219</v>
      </c>
      <c r="C725" s="530" t="str">
        <f t="shared" si="21"/>
        <v>2015.Accommodation - Establishments.All Accommodation Types</v>
      </c>
      <c r="D725" s="530" t="s">
        <v>234</v>
      </c>
      <c r="E725" s="530" t="s">
        <v>150</v>
      </c>
      <c r="F725" s="530" t="s">
        <v>163</v>
      </c>
      <c r="G725" s="530" t="s">
        <v>38</v>
      </c>
      <c r="H725" s="530"/>
      <c r="I725" s="530"/>
      <c r="J725" s="530"/>
      <c r="K725" s="530"/>
      <c r="L725" s="530"/>
      <c r="M725" s="530"/>
      <c r="N725" s="530"/>
      <c r="O725" s="530"/>
      <c r="P725" s="530"/>
      <c r="Q725" s="530"/>
      <c r="R725" s="530"/>
      <c r="S725" s="530"/>
      <c r="T725" s="530">
        <v>1076</v>
      </c>
      <c r="U725" s="530" t="s">
        <v>149</v>
      </c>
    </row>
    <row r="726" spans="1:21" ht="13.8" x14ac:dyDescent="0.3">
      <c r="A726" s="530" t="str">
        <f t="shared" si="20"/>
        <v>Conwy.2015.Accommodation - Bed Spaces.Serviced Accommodation 1</v>
      </c>
      <c r="B726" s="530" t="s">
        <v>219</v>
      </c>
      <c r="C726" s="530" t="str">
        <f t="shared" si="21"/>
        <v>2015.Accommodation - Bed Spaces.Serviced Accommodation 1</v>
      </c>
      <c r="D726" s="530" t="s">
        <v>234</v>
      </c>
      <c r="E726" s="530" t="s">
        <v>164</v>
      </c>
      <c r="F726" s="530" t="s">
        <v>151</v>
      </c>
      <c r="G726" s="530" t="s">
        <v>221</v>
      </c>
      <c r="H726" s="530"/>
      <c r="I726" s="530"/>
      <c r="J726" s="530"/>
      <c r="K726" s="530"/>
      <c r="L726" s="530"/>
      <c r="M726" s="530"/>
      <c r="N726" s="530"/>
      <c r="O726" s="530"/>
      <c r="P726" s="530"/>
      <c r="Q726" s="530"/>
      <c r="R726" s="530"/>
      <c r="S726" s="530"/>
      <c r="T726" s="530">
        <v>3943</v>
      </c>
      <c r="U726" s="530" t="s">
        <v>58</v>
      </c>
    </row>
    <row r="727" spans="1:21" ht="13.8" x14ac:dyDescent="0.3">
      <c r="A727" s="530" t="str">
        <f t="shared" si="20"/>
        <v>Conwy.2015.Accommodation - Bed Spaces.Serviced Accommodation 2</v>
      </c>
      <c r="B727" s="530" t="s">
        <v>219</v>
      </c>
      <c r="C727" s="530" t="str">
        <f t="shared" si="21"/>
        <v>2015.Accommodation - Bed Spaces.Serviced Accommodation 2</v>
      </c>
      <c r="D727" s="530" t="s">
        <v>234</v>
      </c>
      <c r="E727" s="530" t="s">
        <v>164</v>
      </c>
      <c r="F727" s="530" t="s">
        <v>152</v>
      </c>
      <c r="G727" s="530" t="s">
        <v>222</v>
      </c>
      <c r="H727" s="530"/>
      <c r="I727" s="530"/>
      <c r="J727" s="530"/>
      <c r="K727" s="530"/>
      <c r="L727" s="530"/>
      <c r="M727" s="530"/>
      <c r="N727" s="530"/>
      <c r="O727" s="530"/>
      <c r="P727" s="530"/>
      <c r="Q727" s="530"/>
      <c r="R727" s="530"/>
      <c r="S727" s="530"/>
      <c r="T727" s="530">
        <v>4392</v>
      </c>
      <c r="U727" s="530" t="s">
        <v>58</v>
      </c>
    </row>
    <row r="728" spans="1:21" ht="13.8" x14ac:dyDescent="0.3">
      <c r="A728" s="530" t="str">
        <f t="shared" si="20"/>
        <v>Conwy.2015.Accommodation - Bed Spaces.Serviced Accommodation 3</v>
      </c>
      <c r="B728" s="530" t="s">
        <v>219</v>
      </c>
      <c r="C728" s="530" t="str">
        <f t="shared" si="21"/>
        <v>2015.Accommodation - Bed Spaces.Serviced Accommodation 3</v>
      </c>
      <c r="D728" s="530" t="s">
        <v>234</v>
      </c>
      <c r="E728" s="530" t="s">
        <v>164</v>
      </c>
      <c r="F728" s="530" t="s">
        <v>153</v>
      </c>
      <c r="G728" s="530" t="s">
        <v>223</v>
      </c>
      <c r="H728" s="530"/>
      <c r="I728" s="530"/>
      <c r="J728" s="530"/>
      <c r="K728" s="530"/>
      <c r="L728" s="530"/>
      <c r="M728" s="530"/>
      <c r="N728" s="530"/>
      <c r="O728" s="530"/>
      <c r="P728" s="530"/>
      <c r="Q728" s="530"/>
      <c r="R728" s="530"/>
      <c r="S728" s="530"/>
      <c r="T728" s="530">
        <v>3375</v>
      </c>
      <c r="U728" s="530" t="s">
        <v>58</v>
      </c>
    </row>
    <row r="729" spans="1:21" ht="13.8" x14ac:dyDescent="0.3">
      <c r="A729" s="530" t="str">
        <f t="shared" si="20"/>
        <v>Conwy.2015.Accommodation - Bed Spaces.Serviced Accommodation 4</v>
      </c>
      <c r="B729" s="530" t="s">
        <v>219</v>
      </c>
      <c r="C729" s="530" t="str">
        <f t="shared" si="21"/>
        <v>2015.Accommodation - Bed Spaces.Serviced Accommodation 4</v>
      </c>
      <c r="D729" s="530" t="s">
        <v>234</v>
      </c>
      <c r="E729" s="530" t="s">
        <v>164</v>
      </c>
      <c r="F729" s="530" t="s">
        <v>154</v>
      </c>
      <c r="G729" s="530" t="s">
        <v>224</v>
      </c>
      <c r="H729" s="530"/>
      <c r="I729" s="530"/>
      <c r="J729" s="530"/>
      <c r="K729" s="530"/>
      <c r="L729" s="530"/>
      <c r="M729" s="530"/>
      <c r="N729" s="530"/>
      <c r="O729" s="530"/>
      <c r="P729" s="530"/>
      <c r="Q729" s="530"/>
      <c r="R729" s="530"/>
      <c r="S729" s="530"/>
      <c r="T729" s="530" t="s">
        <v>224</v>
      </c>
      <c r="U729" s="530" t="s">
        <v>58</v>
      </c>
    </row>
    <row r="730" spans="1:21" ht="13.8" x14ac:dyDescent="0.3">
      <c r="A730" s="530" t="str">
        <f t="shared" si="20"/>
        <v>Conwy.2015.Accommodation - Bed Spaces.Serviced Accommodation 5</v>
      </c>
      <c r="B730" s="530" t="s">
        <v>219</v>
      </c>
      <c r="C730" s="530" t="str">
        <f t="shared" si="21"/>
        <v>2015.Accommodation - Bed Spaces.Serviced Accommodation 5</v>
      </c>
      <c r="D730" s="530" t="s">
        <v>234</v>
      </c>
      <c r="E730" s="530" t="s">
        <v>164</v>
      </c>
      <c r="F730" s="530" t="s">
        <v>155</v>
      </c>
      <c r="G730" s="530" t="s">
        <v>224</v>
      </c>
      <c r="H730" s="530"/>
      <c r="I730" s="530"/>
      <c r="J730" s="530"/>
      <c r="K730" s="530"/>
      <c r="L730" s="530"/>
      <c r="M730" s="530"/>
      <c r="N730" s="530"/>
      <c r="O730" s="530"/>
      <c r="P730" s="530"/>
      <c r="Q730" s="530"/>
      <c r="R730" s="530"/>
      <c r="S730" s="530"/>
      <c r="T730" s="530" t="s">
        <v>224</v>
      </c>
      <c r="U730" s="530" t="s">
        <v>58</v>
      </c>
    </row>
    <row r="731" spans="1:21" ht="13.8" x14ac:dyDescent="0.3">
      <c r="A731" s="530" t="str">
        <f t="shared" si="20"/>
        <v>Conwy.2015.Accommodation - Bed Spaces.Serviced Accommodation Total</v>
      </c>
      <c r="B731" s="530" t="s">
        <v>219</v>
      </c>
      <c r="C731" s="530" t="str">
        <f t="shared" si="21"/>
        <v>2015.Accommodation - Bed Spaces.Serviced Accommodation Total</v>
      </c>
      <c r="D731" s="530" t="s">
        <v>234</v>
      </c>
      <c r="E731" s="530" t="s">
        <v>164</v>
      </c>
      <c r="F731" s="530" t="s">
        <v>161</v>
      </c>
      <c r="G731" s="530" t="s">
        <v>225</v>
      </c>
      <c r="H731" s="530"/>
      <c r="I731" s="530"/>
      <c r="J731" s="530"/>
      <c r="K731" s="530"/>
      <c r="L731" s="530"/>
      <c r="M731" s="530"/>
      <c r="N731" s="530"/>
      <c r="O731" s="530"/>
      <c r="P731" s="530"/>
      <c r="Q731" s="530"/>
      <c r="R731" s="530"/>
      <c r="S731" s="530"/>
      <c r="T731" s="530">
        <v>11710</v>
      </c>
      <c r="U731" s="530" t="s">
        <v>58</v>
      </c>
    </row>
    <row r="732" spans="1:21" ht="13.8" x14ac:dyDescent="0.3">
      <c r="A732" s="530" t="str">
        <f t="shared" si="20"/>
        <v>Conwy.2015.Accommodation - Bed Spaces.Non-Serviced Accommodation 1</v>
      </c>
      <c r="B732" s="530" t="s">
        <v>219</v>
      </c>
      <c r="C732" s="530" t="str">
        <f t="shared" si="21"/>
        <v>2015.Accommodation - Bed Spaces.Non-Serviced Accommodation 1</v>
      </c>
      <c r="D732" s="530" t="s">
        <v>234</v>
      </c>
      <c r="E732" s="530" t="s">
        <v>164</v>
      </c>
      <c r="F732" s="530" t="s">
        <v>156</v>
      </c>
      <c r="G732" s="530" t="s">
        <v>226</v>
      </c>
      <c r="H732" s="530"/>
      <c r="I732" s="530"/>
      <c r="J732" s="530"/>
      <c r="K732" s="530"/>
      <c r="L732" s="530"/>
      <c r="M732" s="530"/>
      <c r="N732" s="530"/>
      <c r="O732" s="530"/>
      <c r="P732" s="530"/>
      <c r="Q732" s="530"/>
      <c r="R732" s="530"/>
      <c r="S732" s="530"/>
      <c r="T732" s="530">
        <v>4373</v>
      </c>
      <c r="U732" s="530" t="s">
        <v>58</v>
      </c>
    </row>
    <row r="733" spans="1:21" ht="13.8" x14ac:dyDescent="0.3">
      <c r="A733" s="530" t="str">
        <f t="shared" si="20"/>
        <v>Conwy.2015.Accommodation - Bed Spaces.Non-Serviced Accommodation 2</v>
      </c>
      <c r="B733" s="530" t="s">
        <v>219</v>
      </c>
      <c r="C733" s="530" t="str">
        <f t="shared" si="21"/>
        <v>2015.Accommodation - Bed Spaces.Non-Serviced Accommodation 2</v>
      </c>
      <c r="D733" s="530" t="s">
        <v>234</v>
      </c>
      <c r="E733" s="530" t="s">
        <v>164</v>
      </c>
      <c r="F733" s="530" t="s">
        <v>157</v>
      </c>
      <c r="G733" s="530" t="s">
        <v>227</v>
      </c>
      <c r="H733" s="530"/>
      <c r="I733" s="530"/>
      <c r="J733" s="530"/>
      <c r="K733" s="530"/>
      <c r="L733" s="530"/>
      <c r="M733" s="530"/>
      <c r="N733" s="530"/>
      <c r="O733" s="530"/>
      <c r="P733" s="530"/>
      <c r="Q733" s="530"/>
      <c r="R733" s="530"/>
      <c r="S733" s="530"/>
      <c r="T733" s="530">
        <v>7107.5513948698754</v>
      </c>
      <c r="U733" s="530" t="s">
        <v>58</v>
      </c>
    </row>
    <row r="734" spans="1:21" ht="13.8" x14ac:dyDescent="0.3">
      <c r="A734" s="530" t="str">
        <f t="shared" si="20"/>
        <v>Conwy.2015.Accommodation - Bed Spaces.Non-Serviced Accommodation 3</v>
      </c>
      <c r="B734" s="530" t="s">
        <v>219</v>
      </c>
      <c r="C734" s="530" t="str">
        <f t="shared" si="21"/>
        <v>2015.Accommodation - Bed Spaces.Non-Serviced Accommodation 3</v>
      </c>
      <c r="D734" s="530" t="s">
        <v>234</v>
      </c>
      <c r="E734" s="530" t="s">
        <v>164</v>
      </c>
      <c r="F734" s="530" t="s">
        <v>158</v>
      </c>
      <c r="G734" s="530" t="s">
        <v>228</v>
      </c>
      <c r="H734" s="530"/>
      <c r="I734" s="530"/>
      <c r="J734" s="530"/>
      <c r="K734" s="530"/>
      <c r="L734" s="530"/>
      <c r="M734" s="530"/>
      <c r="N734" s="530"/>
      <c r="O734" s="530"/>
      <c r="P734" s="530"/>
      <c r="Q734" s="530"/>
      <c r="R734" s="530"/>
      <c r="S734" s="530"/>
      <c r="T734" s="530">
        <v>8715</v>
      </c>
      <c r="U734" s="530" t="s">
        <v>58</v>
      </c>
    </row>
    <row r="735" spans="1:21" ht="13.8" x14ac:dyDescent="0.3">
      <c r="A735" s="530" t="str">
        <f t="shared" si="20"/>
        <v>Conwy.2015.Accommodation - Bed Spaces.Non-Serviced Accommodation 4</v>
      </c>
      <c r="B735" s="530" t="s">
        <v>219</v>
      </c>
      <c r="C735" s="530" t="str">
        <f t="shared" si="21"/>
        <v>2015.Accommodation - Bed Spaces.Non-Serviced Accommodation 4</v>
      </c>
      <c r="D735" s="530" t="s">
        <v>234</v>
      </c>
      <c r="E735" s="530" t="s">
        <v>164</v>
      </c>
      <c r="F735" s="530" t="s">
        <v>159</v>
      </c>
      <c r="G735" s="530" t="s">
        <v>229</v>
      </c>
      <c r="H735" s="530"/>
      <c r="I735" s="530"/>
      <c r="J735" s="530"/>
      <c r="K735" s="530"/>
      <c r="L735" s="530"/>
      <c r="M735" s="530"/>
      <c r="N735" s="530"/>
      <c r="O735" s="530"/>
      <c r="P735" s="530"/>
      <c r="Q735" s="530"/>
      <c r="R735" s="530"/>
      <c r="S735" s="530"/>
      <c r="T735" s="530">
        <v>29189.544841789928</v>
      </c>
      <c r="U735" s="530" t="s">
        <v>58</v>
      </c>
    </row>
    <row r="736" spans="1:21" ht="13.8" x14ac:dyDescent="0.3">
      <c r="A736" s="530" t="str">
        <f t="shared" si="20"/>
        <v>Conwy.2015.Accommodation - Bed Spaces.Non-Serviced Accommodation 5</v>
      </c>
      <c r="B736" s="530" t="s">
        <v>219</v>
      </c>
      <c r="C736" s="530" t="str">
        <f t="shared" si="21"/>
        <v>2015.Accommodation - Bed Spaces.Non-Serviced Accommodation 5</v>
      </c>
      <c r="D736" s="530" t="s">
        <v>234</v>
      </c>
      <c r="E736" s="530" t="s">
        <v>164</v>
      </c>
      <c r="F736" s="530" t="s">
        <v>160</v>
      </c>
      <c r="G736" s="530" t="s">
        <v>224</v>
      </c>
      <c r="H736" s="530"/>
      <c r="I736" s="530"/>
      <c r="J736" s="530"/>
      <c r="K736" s="530"/>
      <c r="L736" s="530"/>
      <c r="M736" s="530"/>
      <c r="N736" s="530"/>
      <c r="O736" s="530"/>
      <c r="P736" s="530"/>
      <c r="Q736" s="530"/>
      <c r="R736" s="530"/>
      <c r="S736" s="530"/>
      <c r="T736" s="530" t="s">
        <v>224</v>
      </c>
      <c r="U736" s="530" t="s">
        <v>58</v>
      </c>
    </row>
    <row r="737" spans="1:21" ht="13.8" x14ac:dyDescent="0.3">
      <c r="A737" s="530" t="str">
        <f t="shared" si="20"/>
        <v>Conwy.2015.Accommodation - Bed Spaces.Non-Serviced Accommodation Total</v>
      </c>
      <c r="B737" s="530" t="s">
        <v>219</v>
      </c>
      <c r="C737" s="530" t="str">
        <f t="shared" si="21"/>
        <v>2015.Accommodation - Bed Spaces.Non-Serviced Accommodation Total</v>
      </c>
      <c r="D737" s="530" t="s">
        <v>234</v>
      </c>
      <c r="E737" s="530" t="s">
        <v>164</v>
      </c>
      <c r="F737" s="530" t="s">
        <v>162</v>
      </c>
      <c r="G737" s="530" t="s">
        <v>230</v>
      </c>
      <c r="H737" s="530"/>
      <c r="I737" s="530"/>
      <c r="J737" s="530"/>
      <c r="K737" s="530"/>
      <c r="L737" s="530"/>
      <c r="M737" s="530"/>
      <c r="N737" s="530"/>
      <c r="O737" s="530"/>
      <c r="P737" s="530"/>
      <c r="Q737" s="530"/>
      <c r="R737" s="530"/>
      <c r="S737" s="530"/>
      <c r="T737" s="530">
        <v>49385.096236659803</v>
      </c>
      <c r="U737" s="530" t="s">
        <v>58</v>
      </c>
    </row>
    <row r="738" spans="1:21" ht="13.8" x14ac:dyDescent="0.3">
      <c r="A738" s="530" t="str">
        <f t="shared" si="20"/>
        <v>Conwy.2015.Accommodation - Bed Spaces.All Accommodation Types</v>
      </c>
      <c r="B738" s="530" t="s">
        <v>219</v>
      </c>
      <c r="C738" s="530" t="str">
        <f t="shared" si="21"/>
        <v>2015.Accommodation - Bed Spaces.All Accommodation Types</v>
      </c>
      <c r="D738" s="530" t="s">
        <v>234</v>
      </c>
      <c r="E738" s="530" t="s">
        <v>164</v>
      </c>
      <c r="F738" s="530" t="s">
        <v>163</v>
      </c>
      <c r="G738" s="530" t="s">
        <v>38</v>
      </c>
      <c r="H738" s="530"/>
      <c r="I738" s="530"/>
      <c r="J738" s="530"/>
      <c r="K738" s="530"/>
      <c r="L738" s="530"/>
      <c r="M738" s="530"/>
      <c r="N738" s="530"/>
      <c r="O738" s="530"/>
      <c r="P738" s="530"/>
      <c r="Q738" s="530"/>
      <c r="R738" s="530"/>
      <c r="S738" s="530"/>
      <c r="T738" s="530">
        <v>61095.096236659803</v>
      </c>
      <c r="U738" s="530" t="s">
        <v>58</v>
      </c>
    </row>
    <row r="739" spans="1:21" ht="13.8" x14ac:dyDescent="0.3">
      <c r="A739" s="530" t="str">
        <f t="shared" si="20"/>
        <v>Conwy.2016.Accommodation - Establishments.Serviced Accommodation 1</v>
      </c>
      <c r="B739" s="530" t="s">
        <v>219</v>
      </c>
      <c r="C739" s="530" t="str">
        <f t="shared" si="21"/>
        <v>2016.Accommodation - Establishments.Serviced Accommodation 1</v>
      </c>
      <c r="D739" s="530" t="s">
        <v>235</v>
      </c>
      <c r="E739" s="530" t="s">
        <v>150</v>
      </c>
      <c r="F739" s="530" t="s">
        <v>151</v>
      </c>
      <c r="G739" s="530" t="s">
        <v>221</v>
      </c>
      <c r="H739" s="530"/>
      <c r="I739" s="530"/>
      <c r="J739" s="530"/>
      <c r="K739" s="530"/>
      <c r="L739" s="530"/>
      <c r="M739" s="530"/>
      <c r="N739" s="530"/>
      <c r="O739" s="530"/>
      <c r="P739" s="530"/>
      <c r="Q739" s="530"/>
      <c r="R739" s="530"/>
      <c r="S739" s="530"/>
      <c r="T739" s="530">
        <v>23.599999999999998</v>
      </c>
      <c r="U739" s="530" t="s">
        <v>149</v>
      </c>
    </row>
    <row r="740" spans="1:21" ht="13.8" x14ac:dyDescent="0.3">
      <c r="A740" s="530" t="str">
        <f t="shared" si="20"/>
        <v>Conwy.2016.Accommodation - Establishments.Serviced Accommodation 2</v>
      </c>
      <c r="B740" s="530" t="s">
        <v>219</v>
      </c>
      <c r="C740" s="530" t="str">
        <f t="shared" si="21"/>
        <v>2016.Accommodation - Establishments.Serviced Accommodation 2</v>
      </c>
      <c r="D740" s="530" t="s">
        <v>235</v>
      </c>
      <c r="E740" s="530" t="s">
        <v>150</v>
      </c>
      <c r="F740" s="530" t="s">
        <v>152</v>
      </c>
      <c r="G740" s="530" t="s">
        <v>222</v>
      </c>
      <c r="H740" s="530"/>
      <c r="I740" s="530"/>
      <c r="J740" s="530"/>
      <c r="K740" s="530"/>
      <c r="L740" s="530"/>
      <c r="M740" s="530"/>
      <c r="N740" s="530"/>
      <c r="O740" s="530"/>
      <c r="P740" s="530"/>
      <c r="Q740" s="530"/>
      <c r="R740" s="530"/>
      <c r="S740" s="530"/>
      <c r="T740" s="530">
        <v>82.399999999999991</v>
      </c>
      <c r="U740" s="530" t="s">
        <v>149</v>
      </c>
    </row>
    <row r="741" spans="1:21" ht="13.8" x14ac:dyDescent="0.3">
      <c r="A741" s="530" t="str">
        <f t="shared" si="20"/>
        <v>Conwy.2016.Accommodation - Establishments.Serviced Accommodation 3</v>
      </c>
      <c r="B741" s="530" t="s">
        <v>219</v>
      </c>
      <c r="C741" s="530" t="str">
        <f t="shared" si="21"/>
        <v>2016.Accommodation - Establishments.Serviced Accommodation 3</v>
      </c>
      <c r="D741" s="530" t="s">
        <v>235</v>
      </c>
      <c r="E741" s="530" t="s">
        <v>150</v>
      </c>
      <c r="F741" s="530" t="s">
        <v>153</v>
      </c>
      <c r="G741" s="530" t="s">
        <v>223</v>
      </c>
      <c r="H741" s="530"/>
      <c r="I741" s="530"/>
      <c r="J741" s="530"/>
      <c r="K741" s="530"/>
      <c r="L741" s="530"/>
      <c r="M741" s="530"/>
      <c r="N741" s="530"/>
      <c r="O741" s="530"/>
      <c r="P741" s="530"/>
      <c r="Q741" s="530"/>
      <c r="R741" s="530"/>
      <c r="S741" s="530"/>
      <c r="T741" s="530">
        <v>249</v>
      </c>
      <c r="U741" s="530" t="s">
        <v>149</v>
      </c>
    </row>
    <row r="742" spans="1:21" ht="13.8" x14ac:dyDescent="0.3">
      <c r="A742" s="530" t="str">
        <f t="shared" si="20"/>
        <v>Conwy.2016.Accommodation - Establishments.Serviced Accommodation 4</v>
      </c>
      <c r="B742" s="530" t="s">
        <v>219</v>
      </c>
      <c r="C742" s="530" t="str">
        <f t="shared" si="21"/>
        <v>2016.Accommodation - Establishments.Serviced Accommodation 4</v>
      </c>
      <c r="D742" s="530" t="s">
        <v>235</v>
      </c>
      <c r="E742" s="530" t="s">
        <v>150</v>
      </c>
      <c r="F742" s="530" t="s">
        <v>154</v>
      </c>
      <c r="G742" s="530" t="s">
        <v>224</v>
      </c>
      <c r="H742" s="530"/>
      <c r="I742" s="530"/>
      <c r="J742" s="530"/>
      <c r="K742" s="530"/>
      <c r="L742" s="530"/>
      <c r="M742" s="530"/>
      <c r="N742" s="530"/>
      <c r="O742" s="530"/>
      <c r="P742" s="530"/>
      <c r="Q742" s="530"/>
      <c r="R742" s="530"/>
      <c r="S742" s="530"/>
      <c r="T742" s="530" t="s">
        <v>224</v>
      </c>
      <c r="U742" s="530" t="s">
        <v>149</v>
      </c>
    </row>
    <row r="743" spans="1:21" ht="13.8" x14ac:dyDescent="0.3">
      <c r="A743" s="530" t="str">
        <f t="shared" si="20"/>
        <v>Conwy.2016.Accommodation - Establishments.Serviced Accommodation 5</v>
      </c>
      <c r="B743" s="530" t="s">
        <v>219</v>
      </c>
      <c r="C743" s="530" t="str">
        <f t="shared" si="21"/>
        <v>2016.Accommodation - Establishments.Serviced Accommodation 5</v>
      </c>
      <c r="D743" s="530" t="s">
        <v>235</v>
      </c>
      <c r="E743" s="530" t="s">
        <v>150</v>
      </c>
      <c r="F743" s="530" t="s">
        <v>155</v>
      </c>
      <c r="G743" s="530" t="s">
        <v>224</v>
      </c>
      <c r="H743" s="530"/>
      <c r="I743" s="530"/>
      <c r="J743" s="530"/>
      <c r="K743" s="530"/>
      <c r="L743" s="530"/>
      <c r="M743" s="530"/>
      <c r="N743" s="530"/>
      <c r="O743" s="530"/>
      <c r="P743" s="530"/>
      <c r="Q743" s="530"/>
      <c r="R743" s="530"/>
      <c r="S743" s="530"/>
      <c r="T743" s="530" t="s">
        <v>224</v>
      </c>
      <c r="U743" s="530" t="s">
        <v>149</v>
      </c>
    </row>
    <row r="744" spans="1:21" ht="15" customHeight="1" x14ac:dyDescent="0.3">
      <c r="A744" s="530" t="str">
        <f t="shared" si="20"/>
        <v>Conwy.2016.Accommodation - Establishments.Serviced Accommodation Total</v>
      </c>
      <c r="B744" s="530" t="s">
        <v>219</v>
      </c>
      <c r="C744" s="530" t="str">
        <f t="shared" si="21"/>
        <v>2016.Accommodation - Establishments.Serviced Accommodation Total</v>
      </c>
      <c r="D744" s="530" t="s">
        <v>235</v>
      </c>
      <c r="E744" s="530" t="s">
        <v>150</v>
      </c>
      <c r="F744" s="530" t="s">
        <v>161</v>
      </c>
      <c r="G744" s="530" t="s">
        <v>225</v>
      </c>
      <c r="H744" s="530"/>
      <c r="I744" s="530"/>
      <c r="J744" s="530"/>
      <c r="K744" s="530"/>
      <c r="L744" s="530"/>
      <c r="M744" s="530"/>
      <c r="N744" s="530"/>
      <c r="O744" s="530"/>
      <c r="P744" s="530"/>
      <c r="Q744" s="530"/>
      <c r="R744" s="530"/>
      <c r="S744" s="530"/>
      <c r="T744" s="530">
        <v>355</v>
      </c>
      <c r="U744" s="530" t="s">
        <v>149</v>
      </c>
    </row>
    <row r="745" spans="1:21" ht="15" customHeight="1" x14ac:dyDescent="0.3">
      <c r="A745" s="530" t="str">
        <f t="shared" si="20"/>
        <v>Conwy.2016.Accommodation - Establishments.Non-Serviced Accommodation 1</v>
      </c>
      <c r="B745" s="530" t="s">
        <v>219</v>
      </c>
      <c r="C745" s="530" t="str">
        <f t="shared" si="21"/>
        <v>2016.Accommodation - Establishments.Non-Serviced Accommodation 1</v>
      </c>
      <c r="D745" s="530" t="s">
        <v>235</v>
      </c>
      <c r="E745" s="530" t="s">
        <v>150</v>
      </c>
      <c r="F745" s="530" t="s">
        <v>156</v>
      </c>
      <c r="G745" s="530" t="s">
        <v>226</v>
      </c>
      <c r="H745" s="530"/>
      <c r="I745" s="530"/>
      <c r="J745" s="530"/>
      <c r="K745" s="530"/>
      <c r="L745" s="530"/>
      <c r="M745" s="530"/>
      <c r="N745" s="530"/>
      <c r="O745" s="530"/>
      <c r="P745" s="530"/>
      <c r="Q745" s="530"/>
      <c r="R745" s="530"/>
      <c r="S745" s="530"/>
      <c r="T745" s="530">
        <v>672</v>
      </c>
      <c r="U745" s="530" t="s">
        <v>149</v>
      </c>
    </row>
    <row r="746" spans="1:21" ht="15" customHeight="1" x14ac:dyDescent="0.3">
      <c r="A746" s="530" t="str">
        <f t="shared" si="20"/>
        <v>Conwy.2016.Accommodation - Establishments.Non-Serviced Accommodation 2</v>
      </c>
      <c r="B746" s="530" t="s">
        <v>219</v>
      </c>
      <c r="C746" s="530" t="str">
        <f t="shared" si="21"/>
        <v>2016.Accommodation - Establishments.Non-Serviced Accommodation 2</v>
      </c>
      <c r="D746" s="530" t="s">
        <v>235</v>
      </c>
      <c r="E746" s="530" t="s">
        <v>150</v>
      </c>
      <c r="F746" s="530" t="s">
        <v>157</v>
      </c>
      <c r="G746" s="530" t="s">
        <v>227</v>
      </c>
      <c r="H746" s="530"/>
      <c r="I746" s="530"/>
      <c r="J746" s="530"/>
      <c r="K746" s="530"/>
      <c r="L746" s="530"/>
      <c r="M746" s="530"/>
      <c r="N746" s="530"/>
      <c r="O746" s="530"/>
      <c r="P746" s="530"/>
      <c r="Q746" s="530"/>
      <c r="R746" s="530"/>
      <c r="S746" s="530"/>
      <c r="T746" s="530">
        <v>88.399999999999991</v>
      </c>
      <c r="U746" s="530" t="s">
        <v>149</v>
      </c>
    </row>
    <row r="747" spans="1:21" ht="15" customHeight="1" x14ac:dyDescent="0.3">
      <c r="A747" s="530" t="str">
        <f t="shared" si="20"/>
        <v>Conwy.2016.Accommodation - Establishments.Non-Serviced Accommodation 3</v>
      </c>
      <c r="B747" s="530" t="s">
        <v>219</v>
      </c>
      <c r="C747" s="530" t="str">
        <f t="shared" si="21"/>
        <v>2016.Accommodation - Establishments.Non-Serviced Accommodation 3</v>
      </c>
      <c r="D747" s="530" t="s">
        <v>235</v>
      </c>
      <c r="E747" s="530" t="s">
        <v>150</v>
      </c>
      <c r="F747" s="530" t="s">
        <v>158</v>
      </c>
      <c r="G747" s="530" t="s">
        <v>228</v>
      </c>
      <c r="H747" s="530"/>
      <c r="I747" s="530"/>
      <c r="J747" s="530"/>
      <c r="K747" s="530"/>
      <c r="L747" s="530"/>
      <c r="M747" s="530"/>
      <c r="N747" s="530"/>
      <c r="O747" s="530"/>
      <c r="P747" s="530"/>
      <c r="Q747" s="530"/>
      <c r="R747" s="530"/>
      <c r="S747" s="530"/>
      <c r="T747" s="530">
        <v>54.800000000000004</v>
      </c>
      <c r="U747" s="530" t="s">
        <v>149</v>
      </c>
    </row>
    <row r="748" spans="1:21" ht="15" customHeight="1" x14ac:dyDescent="0.3">
      <c r="A748" s="530" t="str">
        <f t="shared" si="20"/>
        <v>Conwy.2016.Accommodation - Establishments.Non-Serviced Accommodation 4</v>
      </c>
      <c r="B748" s="530" t="s">
        <v>219</v>
      </c>
      <c r="C748" s="530" t="str">
        <f t="shared" si="21"/>
        <v>2016.Accommodation - Establishments.Non-Serviced Accommodation 4</v>
      </c>
      <c r="D748" s="530" t="s">
        <v>235</v>
      </c>
      <c r="E748" s="530" t="s">
        <v>150</v>
      </c>
      <c r="F748" s="530" t="s">
        <v>159</v>
      </c>
      <c r="G748" s="530" t="s">
        <v>229</v>
      </c>
      <c r="H748" s="530"/>
      <c r="I748" s="530"/>
      <c r="J748" s="530"/>
      <c r="K748" s="530"/>
      <c r="L748" s="530"/>
      <c r="M748" s="530"/>
      <c r="N748" s="530"/>
      <c r="O748" s="530"/>
      <c r="P748" s="530"/>
      <c r="Q748" s="530"/>
      <c r="R748" s="530"/>
      <c r="S748" s="530"/>
      <c r="T748" s="530">
        <v>0</v>
      </c>
      <c r="U748" s="530" t="s">
        <v>149</v>
      </c>
    </row>
    <row r="749" spans="1:21" ht="15" customHeight="1" x14ac:dyDescent="0.3">
      <c r="A749" s="530" t="str">
        <f t="shared" si="20"/>
        <v>Conwy.2016.Accommodation - Establishments.Non-Serviced Accommodation 5</v>
      </c>
      <c r="B749" s="530" t="s">
        <v>219</v>
      </c>
      <c r="C749" s="530" t="str">
        <f t="shared" si="21"/>
        <v>2016.Accommodation - Establishments.Non-Serviced Accommodation 5</v>
      </c>
      <c r="D749" s="530" t="s">
        <v>235</v>
      </c>
      <c r="E749" s="530" t="s">
        <v>150</v>
      </c>
      <c r="F749" s="530" t="s">
        <v>160</v>
      </c>
      <c r="G749" s="530" t="s">
        <v>224</v>
      </c>
      <c r="H749" s="530"/>
      <c r="I749" s="530"/>
      <c r="J749" s="530"/>
      <c r="K749" s="530"/>
      <c r="L749" s="530"/>
      <c r="M749" s="530"/>
      <c r="N749" s="530"/>
      <c r="O749" s="530"/>
      <c r="P749" s="530"/>
      <c r="Q749" s="530"/>
      <c r="R749" s="530"/>
      <c r="S749" s="530"/>
      <c r="T749" s="530" t="s">
        <v>224</v>
      </c>
      <c r="U749" s="530" t="s">
        <v>149</v>
      </c>
    </row>
    <row r="750" spans="1:21" ht="15" customHeight="1" x14ac:dyDescent="0.3">
      <c r="A750" s="530" t="str">
        <f t="shared" si="20"/>
        <v>Conwy.2016.Accommodation - Establishments.Non-Serviced Accommodation Total</v>
      </c>
      <c r="B750" s="530" t="s">
        <v>219</v>
      </c>
      <c r="C750" s="530" t="str">
        <f t="shared" si="21"/>
        <v>2016.Accommodation - Establishments.Non-Serviced Accommodation Total</v>
      </c>
      <c r="D750" s="530" t="s">
        <v>235</v>
      </c>
      <c r="E750" s="530" t="s">
        <v>150</v>
      </c>
      <c r="F750" s="530" t="s">
        <v>162</v>
      </c>
      <c r="G750" s="530" t="s">
        <v>230</v>
      </c>
      <c r="H750" s="530"/>
      <c r="I750" s="530"/>
      <c r="J750" s="530"/>
      <c r="K750" s="530"/>
      <c r="L750" s="530"/>
      <c r="M750" s="530"/>
      <c r="N750" s="530"/>
      <c r="O750" s="530"/>
      <c r="P750" s="530"/>
      <c r="Q750" s="530"/>
      <c r="R750" s="530"/>
      <c r="S750" s="530"/>
      <c r="T750" s="530">
        <v>815.19999999999993</v>
      </c>
      <c r="U750" s="530" t="s">
        <v>149</v>
      </c>
    </row>
    <row r="751" spans="1:21" ht="15" customHeight="1" x14ac:dyDescent="0.3">
      <c r="A751" s="530" t="str">
        <f t="shared" si="20"/>
        <v>Conwy.2016.Accommodation - Establishments.All Accommodation Types</v>
      </c>
      <c r="B751" s="530" t="s">
        <v>219</v>
      </c>
      <c r="C751" s="530" t="str">
        <f t="shared" si="21"/>
        <v>2016.Accommodation - Establishments.All Accommodation Types</v>
      </c>
      <c r="D751" s="530" t="s">
        <v>235</v>
      </c>
      <c r="E751" s="530" t="s">
        <v>150</v>
      </c>
      <c r="F751" s="530" t="s">
        <v>163</v>
      </c>
      <c r="G751" s="530" t="s">
        <v>38</v>
      </c>
      <c r="H751" s="530"/>
      <c r="I751" s="530"/>
      <c r="J751" s="530"/>
      <c r="K751" s="530"/>
      <c r="L751" s="530"/>
      <c r="M751" s="530"/>
      <c r="N751" s="530"/>
      <c r="O751" s="530"/>
      <c r="P751" s="530"/>
      <c r="Q751" s="530"/>
      <c r="R751" s="530"/>
      <c r="S751" s="530"/>
      <c r="T751" s="530">
        <v>1170.1999999999998</v>
      </c>
      <c r="U751" s="530" t="s">
        <v>149</v>
      </c>
    </row>
    <row r="752" spans="1:21" ht="13.8" x14ac:dyDescent="0.3">
      <c r="A752" s="530" t="str">
        <f t="shared" si="20"/>
        <v>Conwy.2016.Accommodation - Bed Spaces.Serviced Accommodation 1</v>
      </c>
      <c r="B752" s="530" t="s">
        <v>219</v>
      </c>
      <c r="C752" s="530" t="str">
        <f t="shared" si="21"/>
        <v>2016.Accommodation - Bed Spaces.Serviced Accommodation 1</v>
      </c>
      <c r="D752" s="530" t="s">
        <v>235</v>
      </c>
      <c r="E752" s="530" t="s">
        <v>164</v>
      </c>
      <c r="F752" s="530" t="s">
        <v>151</v>
      </c>
      <c r="G752" s="530" t="s">
        <v>221</v>
      </c>
      <c r="H752" s="530"/>
      <c r="I752" s="530"/>
      <c r="J752" s="530"/>
      <c r="K752" s="530"/>
      <c r="L752" s="530"/>
      <c r="M752" s="530"/>
      <c r="N752" s="530"/>
      <c r="O752" s="530"/>
      <c r="P752" s="530"/>
      <c r="Q752" s="530"/>
      <c r="R752" s="530"/>
      <c r="S752" s="530"/>
      <c r="T752" s="530">
        <v>3698.2000000000003</v>
      </c>
      <c r="U752" s="530" t="s">
        <v>58</v>
      </c>
    </row>
    <row r="753" spans="1:21" ht="13.8" x14ac:dyDescent="0.3">
      <c r="A753" s="530" t="str">
        <f t="shared" si="20"/>
        <v>Conwy.2016.Accommodation - Bed Spaces.Serviced Accommodation 2</v>
      </c>
      <c r="B753" s="530" t="s">
        <v>219</v>
      </c>
      <c r="C753" s="530" t="str">
        <f t="shared" si="21"/>
        <v>2016.Accommodation - Bed Spaces.Serviced Accommodation 2</v>
      </c>
      <c r="D753" s="530" t="s">
        <v>235</v>
      </c>
      <c r="E753" s="530" t="s">
        <v>164</v>
      </c>
      <c r="F753" s="530" t="s">
        <v>152</v>
      </c>
      <c r="G753" s="530" t="s">
        <v>222</v>
      </c>
      <c r="H753" s="530"/>
      <c r="I753" s="530"/>
      <c r="J753" s="530"/>
      <c r="K753" s="530"/>
      <c r="L753" s="530"/>
      <c r="M753" s="530"/>
      <c r="N753" s="530"/>
      <c r="O753" s="530"/>
      <c r="P753" s="530"/>
      <c r="Q753" s="530"/>
      <c r="R753" s="530"/>
      <c r="S753" s="530"/>
      <c r="T753" s="530">
        <v>3570</v>
      </c>
      <c r="U753" s="530" t="s">
        <v>58</v>
      </c>
    </row>
    <row r="754" spans="1:21" ht="13.8" x14ac:dyDescent="0.3">
      <c r="A754" s="530" t="str">
        <f t="shared" si="20"/>
        <v>Conwy.2016.Accommodation - Bed Spaces.Serviced Accommodation 3</v>
      </c>
      <c r="B754" s="530" t="s">
        <v>219</v>
      </c>
      <c r="C754" s="530" t="str">
        <f t="shared" si="21"/>
        <v>2016.Accommodation - Bed Spaces.Serviced Accommodation 3</v>
      </c>
      <c r="D754" s="530" t="s">
        <v>235</v>
      </c>
      <c r="E754" s="530" t="s">
        <v>164</v>
      </c>
      <c r="F754" s="530" t="s">
        <v>153</v>
      </c>
      <c r="G754" s="530" t="s">
        <v>223</v>
      </c>
      <c r="H754" s="530"/>
      <c r="I754" s="530"/>
      <c r="J754" s="530"/>
      <c r="K754" s="530"/>
      <c r="L754" s="530"/>
      <c r="M754" s="530"/>
      <c r="N754" s="530"/>
      <c r="O754" s="530"/>
      <c r="P754" s="530"/>
      <c r="Q754" s="530"/>
      <c r="R754" s="530"/>
      <c r="S754" s="530"/>
      <c r="T754" s="530">
        <v>2991.5999999999995</v>
      </c>
      <c r="U754" s="530" t="s">
        <v>58</v>
      </c>
    </row>
    <row r="755" spans="1:21" ht="13.8" x14ac:dyDescent="0.3">
      <c r="A755" s="530" t="str">
        <f t="shared" si="20"/>
        <v>Conwy.2016.Accommodation - Bed Spaces.Serviced Accommodation 4</v>
      </c>
      <c r="B755" s="530" t="s">
        <v>219</v>
      </c>
      <c r="C755" s="530" t="str">
        <f t="shared" si="21"/>
        <v>2016.Accommodation - Bed Spaces.Serviced Accommodation 4</v>
      </c>
      <c r="D755" s="530" t="s">
        <v>235</v>
      </c>
      <c r="E755" s="530" t="s">
        <v>164</v>
      </c>
      <c r="F755" s="530" t="s">
        <v>154</v>
      </c>
      <c r="G755" s="530" t="s">
        <v>224</v>
      </c>
      <c r="H755" s="530"/>
      <c r="I755" s="530"/>
      <c r="J755" s="530"/>
      <c r="K755" s="530"/>
      <c r="L755" s="530"/>
      <c r="M755" s="530"/>
      <c r="N755" s="530"/>
      <c r="O755" s="530"/>
      <c r="P755" s="530"/>
      <c r="Q755" s="530"/>
      <c r="R755" s="530"/>
      <c r="S755" s="530"/>
      <c r="T755" s="530" t="s">
        <v>224</v>
      </c>
      <c r="U755" s="530" t="s">
        <v>58</v>
      </c>
    </row>
    <row r="756" spans="1:21" ht="13.8" x14ac:dyDescent="0.3">
      <c r="A756" s="530" t="str">
        <f t="shared" si="20"/>
        <v>Conwy.2016.Accommodation - Bed Spaces.Serviced Accommodation 5</v>
      </c>
      <c r="B756" s="530" t="s">
        <v>219</v>
      </c>
      <c r="C756" s="530" t="str">
        <f t="shared" si="21"/>
        <v>2016.Accommodation - Bed Spaces.Serviced Accommodation 5</v>
      </c>
      <c r="D756" s="530" t="s">
        <v>235</v>
      </c>
      <c r="E756" s="530" t="s">
        <v>164</v>
      </c>
      <c r="F756" s="530" t="s">
        <v>155</v>
      </c>
      <c r="G756" s="530" t="s">
        <v>224</v>
      </c>
      <c r="H756" s="530"/>
      <c r="I756" s="530"/>
      <c r="J756" s="530"/>
      <c r="K756" s="530"/>
      <c r="L756" s="530"/>
      <c r="M756" s="530"/>
      <c r="N756" s="530"/>
      <c r="O756" s="530"/>
      <c r="P756" s="530"/>
      <c r="Q756" s="530"/>
      <c r="R756" s="530"/>
      <c r="S756" s="530"/>
      <c r="T756" s="530" t="s">
        <v>224</v>
      </c>
      <c r="U756" s="530" t="s">
        <v>58</v>
      </c>
    </row>
    <row r="757" spans="1:21" ht="13.8" x14ac:dyDescent="0.3">
      <c r="A757" s="530" t="str">
        <f t="shared" si="20"/>
        <v>Conwy.2016.Accommodation - Bed Spaces.Serviced Accommodation Total</v>
      </c>
      <c r="B757" s="530" t="s">
        <v>219</v>
      </c>
      <c r="C757" s="530" t="str">
        <f t="shared" si="21"/>
        <v>2016.Accommodation - Bed Spaces.Serviced Accommodation Total</v>
      </c>
      <c r="D757" s="530" t="s">
        <v>235</v>
      </c>
      <c r="E757" s="530" t="s">
        <v>164</v>
      </c>
      <c r="F757" s="530" t="s">
        <v>161</v>
      </c>
      <c r="G757" s="530" t="s">
        <v>225</v>
      </c>
      <c r="H757" s="530"/>
      <c r="I757" s="530"/>
      <c r="J757" s="530"/>
      <c r="K757" s="530"/>
      <c r="L757" s="530"/>
      <c r="M757" s="530"/>
      <c r="N757" s="530"/>
      <c r="O757" s="530"/>
      <c r="P757" s="530"/>
      <c r="Q757" s="530"/>
      <c r="R757" s="530"/>
      <c r="S757" s="530"/>
      <c r="T757" s="530">
        <v>10259.799999999999</v>
      </c>
      <c r="U757" s="530" t="s">
        <v>58</v>
      </c>
    </row>
    <row r="758" spans="1:21" ht="13.8" x14ac:dyDescent="0.3">
      <c r="A758" s="530" t="str">
        <f t="shared" si="20"/>
        <v>Conwy.2016.Accommodation - Bed Spaces.Non-Serviced Accommodation 1</v>
      </c>
      <c r="B758" s="530" t="s">
        <v>219</v>
      </c>
      <c r="C758" s="530" t="str">
        <f t="shared" si="21"/>
        <v>2016.Accommodation - Bed Spaces.Non-Serviced Accommodation 1</v>
      </c>
      <c r="D758" s="530" t="s">
        <v>235</v>
      </c>
      <c r="E758" s="530" t="s">
        <v>164</v>
      </c>
      <c r="F758" s="530" t="s">
        <v>156</v>
      </c>
      <c r="G758" s="530" t="s">
        <v>226</v>
      </c>
      <c r="H758" s="530"/>
      <c r="I758" s="530"/>
      <c r="J758" s="530"/>
      <c r="K758" s="530"/>
      <c r="L758" s="530"/>
      <c r="M758" s="530"/>
      <c r="N758" s="530"/>
      <c r="O758" s="530"/>
      <c r="P758" s="530"/>
      <c r="Q758" s="530"/>
      <c r="R758" s="530"/>
      <c r="S758" s="530"/>
      <c r="T758" s="530">
        <v>4645.4000000000005</v>
      </c>
      <c r="U758" s="530" t="s">
        <v>58</v>
      </c>
    </row>
    <row r="759" spans="1:21" ht="13.8" x14ac:dyDescent="0.3">
      <c r="A759" s="530" t="str">
        <f t="shared" si="20"/>
        <v>Conwy.2016.Accommodation - Bed Spaces.Non-Serviced Accommodation 2</v>
      </c>
      <c r="B759" s="530" t="s">
        <v>219</v>
      </c>
      <c r="C759" s="530" t="str">
        <f t="shared" si="21"/>
        <v>2016.Accommodation - Bed Spaces.Non-Serviced Accommodation 2</v>
      </c>
      <c r="D759" s="530" t="s">
        <v>235</v>
      </c>
      <c r="E759" s="530" t="s">
        <v>164</v>
      </c>
      <c r="F759" s="530" t="s">
        <v>157</v>
      </c>
      <c r="G759" s="530" t="s">
        <v>227</v>
      </c>
      <c r="H759" s="530"/>
      <c r="I759" s="530"/>
      <c r="J759" s="530"/>
      <c r="K759" s="530"/>
      <c r="L759" s="530"/>
      <c r="M759" s="530"/>
      <c r="N759" s="530"/>
      <c r="O759" s="530"/>
      <c r="P759" s="530"/>
      <c r="Q759" s="530"/>
      <c r="R759" s="530"/>
      <c r="S759" s="530"/>
      <c r="T759" s="530">
        <v>6980.17479872683</v>
      </c>
      <c r="U759" s="530" t="s">
        <v>58</v>
      </c>
    </row>
    <row r="760" spans="1:21" ht="13.8" x14ac:dyDescent="0.3">
      <c r="A760" s="530" t="str">
        <f t="shared" si="20"/>
        <v>Conwy.2016.Accommodation - Bed Spaces.Non-Serviced Accommodation 3</v>
      </c>
      <c r="B760" s="530" t="s">
        <v>219</v>
      </c>
      <c r="C760" s="530" t="str">
        <f t="shared" si="21"/>
        <v>2016.Accommodation - Bed Spaces.Non-Serviced Accommodation 3</v>
      </c>
      <c r="D760" s="530" t="s">
        <v>235</v>
      </c>
      <c r="E760" s="530" t="s">
        <v>164</v>
      </c>
      <c r="F760" s="530" t="s">
        <v>158</v>
      </c>
      <c r="G760" s="530" t="s">
        <v>228</v>
      </c>
      <c r="H760" s="530"/>
      <c r="I760" s="530"/>
      <c r="J760" s="530"/>
      <c r="K760" s="530"/>
      <c r="L760" s="530"/>
      <c r="M760" s="530"/>
      <c r="N760" s="530"/>
      <c r="O760" s="530"/>
      <c r="P760" s="530"/>
      <c r="Q760" s="530"/>
      <c r="R760" s="530"/>
      <c r="S760" s="530"/>
      <c r="T760" s="530">
        <v>7753.8000000000011</v>
      </c>
      <c r="U760" s="530" t="s">
        <v>58</v>
      </c>
    </row>
    <row r="761" spans="1:21" ht="13.8" x14ac:dyDescent="0.3">
      <c r="A761" s="530" t="str">
        <f t="shared" si="20"/>
        <v>Conwy.2016.Accommodation - Bed Spaces.Non-Serviced Accommodation 4</v>
      </c>
      <c r="B761" s="530" t="s">
        <v>219</v>
      </c>
      <c r="C761" s="530" t="str">
        <f t="shared" si="21"/>
        <v>2016.Accommodation - Bed Spaces.Non-Serviced Accommodation 4</v>
      </c>
      <c r="D761" s="530" t="s">
        <v>235</v>
      </c>
      <c r="E761" s="530" t="s">
        <v>164</v>
      </c>
      <c r="F761" s="530" t="s">
        <v>159</v>
      </c>
      <c r="G761" s="530" t="s">
        <v>229</v>
      </c>
      <c r="H761" s="530"/>
      <c r="I761" s="530"/>
      <c r="J761" s="530"/>
      <c r="K761" s="530"/>
      <c r="L761" s="530"/>
      <c r="M761" s="530"/>
      <c r="N761" s="530"/>
      <c r="O761" s="530"/>
      <c r="P761" s="530"/>
      <c r="Q761" s="530"/>
      <c r="R761" s="530"/>
      <c r="S761" s="530"/>
      <c r="T761" s="530">
        <v>28666.430106721589</v>
      </c>
      <c r="U761" s="530" t="s">
        <v>58</v>
      </c>
    </row>
    <row r="762" spans="1:21" ht="13.8" x14ac:dyDescent="0.3">
      <c r="A762" s="530" t="str">
        <f t="shared" si="20"/>
        <v>Conwy.2016.Accommodation - Bed Spaces.Non-Serviced Accommodation 5</v>
      </c>
      <c r="B762" s="530" t="s">
        <v>219</v>
      </c>
      <c r="C762" s="530" t="str">
        <f t="shared" si="21"/>
        <v>2016.Accommodation - Bed Spaces.Non-Serviced Accommodation 5</v>
      </c>
      <c r="D762" s="530" t="s">
        <v>235</v>
      </c>
      <c r="E762" s="530" t="s">
        <v>164</v>
      </c>
      <c r="F762" s="530" t="s">
        <v>160</v>
      </c>
      <c r="G762" s="530" t="s">
        <v>224</v>
      </c>
      <c r="H762" s="530"/>
      <c r="I762" s="530"/>
      <c r="J762" s="530"/>
      <c r="K762" s="530"/>
      <c r="L762" s="530"/>
      <c r="M762" s="530"/>
      <c r="N762" s="530"/>
      <c r="O762" s="530"/>
      <c r="P762" s="530"/>
      <c r="Q762" s="530"/>
      <c r="R762" s="530"/>
      <c r="S762" s="530"/>
      <c r="T762" s="530" t="s">
        <v>224</v>
      </c>
      <c r="U762" s="530" t="s">
        <v>58</v>
      </c>
    </row>
    <row r="763" spans="1:21" ht="13.8" x14ac:dyDescent="0.3">
      <c r="A763" s="530" t="str">
        <f t="shared" si="20"/>
        <v>Conwy.2016.Accommodation - Bed Spaces.Non-Serviced Accommodation Total</v>
      </c>
      <c r="B763" s="530" t="s">
        <v>219</v>
      </c>
      <c r="C763" s="530" t="str">
        <f t="shared" si="21"/>
        <v>2016.Accommodation - Bed Spaces.Non-Serviced Accommodation Total</v>
      </c>
      <c r="D763" s="530" t="s">
        <v>235</v>
      </c>
      <c r="E763" s="530" t="s">
        <v>164</v>
      </c>
      <c r="F763" s="530" t="s">
        <v>162</v>
      </c>
      <c r="G763" s="530" t="s">
        <v>230</v>
      </c>
      <c r="H763" s="530"/>
      <c r="I763" s="530"/>
      <c r="J763" s="530"/>
      <c r="K763" s="530"/>
      <c r="L763" s="530"/>
      <c r="M763" s="530"/>
      <c r="N763" s="530"/>
      <c r="O763" s="530"/>
      <c r="P763" s="530"/>
      <c r="Q763" s="530"/>
      <c r="R763" s="530"/>
      <c r="S763" s="530"/>
      <c r="T763" s="530">
        <v>48045.804905448415</v>
      </c>
      <c r="U763" s="530" t="s">
        <v>58</v>
      </c>
    </row>
    <row r="764" spans="1:21" ht="13.8" x14ac:dyDescent="0.3">
      <c r="A764" s="530" t="str">
        <f t="shared" si="20"/>
        <v>Conwy.2016.Accommodation - Bed Spaces.All Accommodation Types</v>
      </c>
      <c r="B764" s="530" t="s">
        <v>219</v>
      </c>
      <c r="C764" s="530" t="str">
        <f t="shared" si="21"/>
        <v>2016.Accommodation - Bed Spaces.All Accommodation Types</v>
      </c>
      <c r="D764" s="530" t="s">
        <v>235</v>
      </c>
      <c r="E764" s="530" t="s">
        <v>164</v>
      </c>
      <c r="F764" s="530" t="s">
        <v>163</v>
      </c>
      <c r="G764" s="530" t="s">
        <v>38</v>
      </c>
      <c r="H764" s="530"/>
      <c r="I764" s="530"/>
      <c r="J764" s="530"/>
      <c r="K764" s="530"/>
      <c r="L764" s="530"/>
      <c r="M764" s="530"/>
      <c r="N764" s="530"/>
      <c r="O764" s="530"/>
      <c r="P764" s="530"/>
      <c r="Q764" s="530"/>
      <c r="R764" s="530"/>
      <c r="S764" s="530"/>
      <c r="T764" s="530">
        <v>58305.604905448417</v>
      </c>
      <c r="U764" s="530" t="s">
        <v>58</v>
      </c>
    </row>
    <row r="765" spans="1:21" ht="13.8" x14ac:dyDescent="0.3">
      <c r="A765" s="530" t="str">
        <f t="shared" si="20"/>
        <v>Conwy.2017.Accommodation - Establishments.Serviced Accommodation 1</v>
      </c>
      <c r="B765" s="530" t="s">
        <v>219</v>
      </c>
      <c r="C765" s="530" t="str">
        <f t="shared" si="21"/>
        <v>2017.Accommodation - Establishments.Serviced Accommodation 1</v>
      </c>
      <c r="D765" s="530" t="s">
        <v>236</v>
      </c>
      <c r="E765" s="530" t="s">
        <v>150</v>
      </c>
      <c r="F765" s="530" t="s">
        <v>151</v>
      </c>
      <c r="G765" s="530" t="s">
        <v>221</v>
      </c>
      <c r="H765" s="530"/>
      <c r="I765" s="530"/>
      <c r="J765" s="530"/>
      <c r="K765" s="530"/>
      <c r="L765" s="530"/>
      <c r="M765" s="530"/>
      <c r="N765" s="530"/>
      <c r="O765" s="530"/>
      <c r="P765" s="530"/>
      <c r="Q765" s="530"/>
      <c r="R765" s="530"/>
      <c r="S765" s="530"/>
      <c r="T765" s="530">
        <v>22.799999999999997</v>
      </c>
      <c r="U765" s="530" t="s">
        <v>149</v>
      </c>
    </row>
    <row r="766" spans="1:21" ht="13.8" x14ac:dyDescent="0.3">
      <c r="A766" s="530" t="str">
        <f t="shared" si="20"/>
        <v>Conwy.2017.Accommodation - Establishments.Serviced Accommodation 2</v>
      </c>
      <c r="B766" s="530" t="s">
        <v>219</v>
      </c>
      <c r="C766" s="530" t="str">
        <f t="shared" si="21"/>
        <v>2017.Accommodation - Establishments.Serviced Accommodation 2</v>
      </c>
      <c r="D766" s="530" t="s">
        <v>236</v>
      </c>
      <c r="E766" s="530" t="s">
        <v>150</v>
      </c>
      <c r="F766" s="530" t="s">
        <v>152</v>
      </c>
      <c r="G766" s="530" t="s">
        <v>222</v>
      </c>
      <c r="H766" s="530"/>
      <c r="I766" s="530"/>
      <c r="J766" s="530"/>
      <c r="K766" s="530"/>
      <c r="L766" s="530"/>
      <c r="M766" s="530"/>
      <c r="N766" s="530"/>
      <c r="O766" s="530"/>
      <c r="P766" s="530"/>
      <c r="Q766" s="530"/>
      <c r="R766" s="530"/>
      <c r="S766" s="530"/>
      <c r="T766" s="530">
        <v>75.199999999999989</v>
      </c>
      <c r="U766" s="530" t="s">
        <v>149</v>
      </c>
    </row>
    <row r="767" spans="1:21" ht="13.8" x14ac:dyDescent="0.3">
      <c r="A767" s="530" t="str">
        <f t="shared" si="20"/>
        <v>Conwy.2017.Accommodation - Establishments.Serviced Accommodation 3</v>
      </c>
      <c r="B767" s="530" t="s">
        <v>219</v>
      </c>
      <c r="C767" s="530" t="str">
        <f t="shared" si="21"/>
        <v>2017.Accommodation - Establishments.Serviced Accommodation 3</v>
      </c>
      <c r="D767" s="530" t="s">
        <v>236</v>
      </c>
      <c r="E767" s="530" t="s">
        <v>150</v>
      </c>
      <c r="F767" s="530" t="s">
        <v>153</v>
      </c>
      <c r="G767" s="530" t="s">
        <v>223</v>
      </c>
      <c r="H767" s="530"/>
      <c r="I767" s="530"/>
      <c r="J767" s="530"/>
      <c r="K767" s="530"/>
      <c r="L767" s="530"/>
      <c r="M767" s="530"/>
      <c r="N767" s="530"/>
      <c r="O767" s="530"/>
      <c r="P767" s="530"/>
      <c r="Q767" s="530"/>
      <c r="R767" s="530"/>
      <c r="S767" s="530"/>
      <c r="T767" s="530">
        <v>238</v>
      </c>
      <c r="U767" s="530" t="s">
        <v>149</v>
      </c>
    </row>
    <row r="768" spans="1:21" ht="13.8" x14ac:dyDescent="0.3">
      <c r="A768" s="530" t="str">
        <f t="shared" si="20"/>
        <v>Conwy.2017.Accommodation - Establishments.Serviced Accommodation 4</v>
      </c>
      <c r="B768" s="530" t="s">
        <v>219</v>
      </c>
      <c r="C768" s="530" t="str">
        <f t="shared" si="21"/>
        <v>2017.Accommodation - Establishments.Serviced Accommodation 4</v>
      </c>
      <c r="D768" s="530" t="s">
        <v>236</v>
      </c>
      <c r="E768" s="530" t="s">
        <v>150</v>
      </c>
      <c r="F768" s="530" t="s">
        <v>154</v>
      </c>
      <c r="G768" s="530" t="s">
        <v>224</v>
      </c>
      <c r="H768" s="530"/>
      <c r="I768" s="530"/>
      <c r="J768" s="530"/>
      <c r="K768" s="530"/>
      <c r="L768" s="530"/>
      <c r="M768" s="530"/>
      <c r="N768" s="530"/>
      <c r="O768" s="530"/>
      <c r="P768" s="530"/>
      <c r="Q768" s="530"/>
      <c r="R768" s="530"/>
      <c r="S768" s="530"/>
      <c r="T768" s="530" t="s">
        <v>224</v>
      </c>
      <c r="U768" s="530" t="s">
        <v>149</v>
      </c>
    </row>
    <row r="769" spans="1:21" ht="13.8" x14ac:dyDescent="0.3">
      <c r="A769" s="530" t="str">
        <f t="shared" si="20"/>
        <v>Conwy.2017.Accommodation - Establishments.Serviced Accommodation 5</v>
      </c>
      <c r="B769" s="530" t="s">
        <v>219</v>
      </c>
      <c r="C769" s="530" t="str">
        <f t="shared" si="21"/>
        <v>2017.Accommodation - Establishments.Serviced Accommodation 5</v>
      </c>
      <c r="D769" s="530" t="s">
        <v>236</v>
      </c>
      <c r="E769" s="530" t="s">
        <v>150</v>
      </c>
      <c r="F769" s="530" t="s">
        <v>155</v>
      </c>
      <c r="G769" s="530" t="s">
        <v>224</v>
      </c>
      <c r="H769" s="530"/>
      <c r="I769" s="530"/>
      <c r="J769" s="530"/>
      <c r="K769" s="530"/>
      <c r="L769" s="530"/>
      <c r="M769" s="530"/>
      <c r="N769" s="530"/>
      <c r="O769" s="530"/>
      <c r="P769" s="530"/>
      <c r="Q769" s="530"/>
      <c r="R769" s="530"/>
      <c r="S769" s="530"/>
      <c r="T769" s="530" t="s">
        <v>224</v>
      </c>
      <c r="U769" s="530" t="s">
        <v>149</v>
      </c>
    </row>
    <row r="770" spans="1:21" ht="15" customHeight="1" x14ac:dyDescent="0.3">
      <c r="A770" s="530" t="str">
        <f t="shared" si="20"/>
        <v>Conwy.2017.Accommodation - Establishments.Serviced Accommodation Total</v>
      </c>
      <c r="B770" s="530" t="s">
        <v>219</v>
      </c>
      <c r="C770" s="530" t="str">
        <f t="shared" si="21"/>
        <v>2017.Accommodation - Establishments.Serviced Accommodation Total</v>
      </c>
      <c r="D770" s="530" t="s">
        <v>236</v>
      </c>
      <c r="E770" s="530" t="s">
        <v>150</v>
      </c>
      <c r="F770" s="530" t="s">
        <v>161</v>
      </c>
      <c r="G770" s="530" t="s">
        <v>225</v>
      </c>
      <c r="H770" s="530"/>
      <c r="I770" s="530"/>
      <c r="J770" s="530"/>
      <c r="K770" s="530"/>
      <c r="L770" s="530"/>
      <c r="M770" s="530"/>
      <c r="N770" s="530"/>
      <c r="O770" s="530"/>
      <c r="P770" s="530"/>
      <c r="Q770" s="530"/>
      <c r="R770" s="530"/>
      <c r="S770" s="530"/>
      <c r="T770" s="530">
        <v>336</v>
      </c>
      <c r="U770" s="530" t="s">
        <v>149</v>
      </c>
    </row>
    <row r="771" spans="1:21" ht="15" customHeight="1" x14ac:dyDescent="0.3">
      <c r="A771" s="530" t="str">
        <f t="shared" si="20"/>
        <v>Conwy.2017.Accommodation - Establishments.Non-Serviced Accommodation 1</v>
      </c>
      <c r="B771" s="530" t="s">
        <v>219</v>
      </c>
      <c r="C771" s="530" t="str">
        <f t="shared" si="21"/>
        <v>2017.Accommodation - Establishments.Non-Serviced Accommodation 1</v>
      </c>
      <c r="D771" s="530" t="s">
        <v>236</v>
      </c>
      <c r="E771" s="530" t="s">
        <v>150</v>
      </c>
      <c r="F771" s="530" t="s">
        <v>156</v>
      </c>
      <c r="G771" s="530" t="s">
        <v>226</v>
      </c>
      <c r="H771" s="530"/>
      <c r="I771" s="530"/>
      <c r="J771" s="530"/>
      <c r="K771" s="530"/>
      <c r="L771" s="530"/>
      <c r="M771" s="530"/>
      <c r="N771" s="530"/>
      <c r="O771" s="530"/>
      <c r="P771" s="530"/>
      <c r="Q771" s="530"/>
      <c r="R771" s="530"/>
      <c r="S771" s="530"/>
      <c r="T771" s="530">
        <v>721</v>
      </c>
      <c r="U771" s="530" t="s">
        <v>149</v>
      </c>
    </row>
    <row r="772" spans="1:21" ht="15" customHeight="1" x14ac:dyDescent="0.3">
      <c r="A772" s="530" t="str">
        <f t="shared" si="20"/>
        <v>Conwy.2017.Accommodation - Establishments.Non-Serviced Accommodation 2</v>
      </c>
      <c r="B772" s="530" t="s">
        <v>219</v>
      </c>
      <c r="C772" s="530" t="str">
        <f t="shared" si="21"/>
        <v>2017.Accommodation - Establishments.Non-Serviced Accommodation 2</v>
      </c>
      <c r="D772" s="530" t="s">
        <v>236</v>
      </c>
      <c r="E772" s="530" t="s">
        <v>150</v>
      </c>
      <c r="F772" s="530" t="s">
        <v>157</v>
      </c>
      <c r="G772" s="530" t="s">
        <v>227</v>
      </c>
      <c r="H772" s="530"/>
      <c r="I772" s="530"/>
      <c r="J772" s="530"/>
      <c r="K772" s="530"/>
      <c r="L772" s="530"/>
      <c r="M772" s="530"/>
      <c r="N772" s="530"/>
      <c r="O772" s="530"/>
      <c r="P772" s="530"/>
      <c r="Q772" s="530"/>
      <c r="R772" s="530"/>
      <c r="S772" s="530"/>
      <c r="T772" s="530">
        <v>88.199999999999989</v>
      </c>
      <c r="U772" s="530" t="s">
        <v>149</v>
      </c>
    </row>
    <row r="773" spans="1:21" ht="15" customHeight="1" x14ac:dyDescent="0.3">
      <c r="A773" s="530" t="str">
        <f t="shared" si="20"/>
        <v>Conwy.2017.Accommodation - Establishments.Non-Serviced Accommodation 3</v>
      </c>
      <c r="B773" s="530" t="s">
        <v>219</v>
      </c>
      <c r="C773" s="530" t="str">
        <f t="shared" si="21"/>
        <v>2017.Accommodation - Establishments.Non-Serviced Accommodation 3</v>
      </c>
      <c r="D773" s="530" t="s">
        <v>236</v>
      </c>
      <c r="E773" s="530" t="s">
        <v>150</v>
      </c>
      <c r="F773" s="530" t="s">
        <v>158</v>
      </c>
      <c r="G773" s="530" t="s">
        <v>228</v>
      </c>
      <c r="H773" s="530"/>
      <c r="I773" s="530"/>
      <c r="J773" s="530"/>
      <c r="K773" s="530"/>
      <c r="L773" s="530"/>
      <c r="M773" s="530"/>
      <c r="N773" s="530"/>
      <c r="O773" s="530"/>
      <c r="P773" s="530"/>
      <c r="Q773" s="530"/>
      <c r="R773" s="530"/>
      <c r="S773" s="530"/>
      <c r="T773" s="530">
        <v>56.400000000000006</v>
      </c>
      <c r="U773" s="530" t="s">
        <v>149</v>
      </c>
    </row>
    <row r="774" spans="1:21" ht="15" customHeight="1" x14ac:dyDescent="0.3">
      <c r="A774" s="530" t="str">
        <f t="shared" si="20"/>
        <v>Conwy.2017.Accommodation - Establishments.Non-Serviced Accommodation 4</v>
      </c>
      <c r="B774" s="530" t="s">
        <v>219</v>
      </c>
      <c r="C774" s="530" t="str">
        <f t="shared" si="21"/>
        <v>2017.Accommodation - Establishments.Non-Serviced Accommodation 4</v>
      </c>
      <c r="D774" s="530" t="s">
        <v>236</v>
      </c>
      <c r="E774" s="530" t="s">
        <v>150</v>
      </c>
      <c r="F774" s="530" t="s">
        <v>159</v>
      </c>
      <c r="G774" s="530" t="s">
        <v>229</v>
      </c>
      <c r="H774" s="530"/>
      <c r="I774" s="530"/>
      <c r="J774" s="530"/>
      <c r="K774" s="530"/>
      <c r="L774" s="530"/>
      <c r="M774" s="530"/>
      <c r="N774" s="530"/>
      <c r="O774" s="530"/>
      <c r="P774" s="530"/>
      <c r="Q774" s="530"/>
      <c r="R774" s="530"/>
      <c r="S774" s="530"/>
      <c r="T774" s="530">
        <v>0</v>
      </c>
      <c r="U774" s="530" t="s">
        <v>149</v>
      </c>
    </row>
    <row r="775" spans="1:21" ht="15" customHeight="1" x14ac:dyDescent="0.3">
      <c r="A775" s="530" t="str">
        <f t="shared" si="20"/>
        <v>Conwy.2017.Accommodation - Establishments.Non-Serviced Accommodation 5</v>
      </c>
      <c r="B775" s="530" t="s">
        <v>219</v>
      </c>
      <c r="C775" s="530" t="str">
        <f t="shared" si="21"/>
        <v>2017.Accommodation - Establishments.Non-Serviced Accommodation 5</v>
      </c>
      <c r="D775" s="530" t="s">
        <v>236</v>
      </c>
      <c r="E775" s="530" t="s">
        <v>150</v>
      </c>
      <c r="F775" s="530" t="s">
        <v>160</v>
      </c>
      <c r="G775" s="530" t="s">
        <v>237</v>
      </c>
      <c r="H775" s="530"/>
      <c r="I775" s="530"/>
      <c r="J775" s="530"/>
      <c r="K775" s="530"/>
      <c r="L775" s="530"/>
      <c r="M775" s="530"/>
      <c r="N775" s="530"/>
      <c r="O775" s="530"/>
      <c r="P775" s="530"/>
      <c r="Q775" s="530"/>
      <c r="R775" s="530"/>
      <c r="S775" s="530"/>
      <c r="T775" s="530">
        <v>0</v>
      </c>
      <c r="U775" s="530" t="s">
        <v>149</v>
      </c>
    </row>
    <row r="776" spans="1:21" ht="15" customHeight="1" x14ac:dyDescent="0.3">
      <c r="A776" s="530" t="str">
        <f t="shared" si="20"/>
        <v>Conwy.2017.Accommodation - Establishments.Non-Serviced Accommodation Total</v>
      </c>
      <c r="B776" s="530" t="s">
        <v>219</v>
      </c>
      <c r="C776" s="530" t="str">
        <f t="shared" si="21"/>
        <v>2017.Accommodation - Establishments.Non-Serviced Accommodation Total</v>
      </c>
      <c r="D776" s="530" t="s">
        <v>236</v>
      </c>
      <c r="E776" s="530" t="s">
        <v>150</v>
      </c>
      <c r="F776" s="530" t="s">
        <v>162</v>
      </c>
      <c r="G776" s="530" t="s">
        <v>230</v>
      </c>
      <c r="H776" s="530"/>
      <c r="I776" s="530"/>
      <c r="J776" s="530"/>
      <c r="K776" s="530"/>
      <c r="L776" s="530"/>
      <c r="M776" s="530"/>
      <c r="N776" s="530"/>
      <c r="O776" s="530"/>
      <c r="P776" s="530"/>
      <c r="Q776" s="530"/>
      <c r="R776" s="530"/>
      <c r="S776" s="530"/>
      <c r="T776" s="530">
        <v>865.6</v>
      </c>
      <c r="U776" s="530" t="s">
        <v>149</v>
      </c>
    </row>
    <row r="777" spans="1:21" ht="15" customHeight="1" x14ac:dyDescent="0.3">
      <c r="A777" s="530" t="str">
        <f t="shared" si="20"/>
        <v>Conwy.2017.Accommodation - Establishments.All Accommodation Types</v>
      </c>
      <c r="B777" s="530" t="s">
        <v>219</v>
      </c>
      <c r="C777" s="530" t="str">
        <f t="shared" si="21"/>
        <v>2017.Accommodation - Establishments.All Accommodation Types</v>
      </c>
      <c r="D777" s="530" t="s">
        <v>236</v>
      </c>
      <c r="E777" s="530" t="s">
        <v>150</v>
      </c>
      <c r="F777" s="530" t="s">
        <v>163</v>
      </c>
      <c r="G777" s="530" t="s">
        <v>38</v>
      </c>
      <c r="H777" s="530"/>
      <c r="I777" s="530"/>
      <c r="J777" s="530"/>
      <c r="K777" s="530"/>
      <c r="L777" s="530"/>
      <c r="M777" s="530"/>
      <c r="N777" s="530"/>
      <c r="O777" s="530"/>
      <c r="P777" s="530"/>
      <c r="Q777" s="530"/>
      <c r="R777" s="530"/>
      <c r="S777" s="530"/>
      <c r="T777" s="530">
        <v>1201.5999999999999</v>
      </c>
      <c r="U777" s="530" t="s">
        <v>149</v>
      </c>
    </row>
    <row r="778" spans="1:21" ht="13.8" x14ac:dyDescent="0.3">
      <c r="A778" s="530" t="str">
        <f t="shared" si="20"/>
        <v>Conwy.2017.Accommodation - Bed Spaces.Serviced Accommodation 1</v>
      </c>
      <c r="B778" s="530" t="s">
        <v>219</v>
      </c>
      <c r="C778" s="530" t="str">
        <f t="shared" si="21"/>
        <v>2017.Accommodation - Bed Spaces.Serviced Accommodation 1</v>
      </c>
      <c r="D778" s="530" t="s">
        <v>236</v>
      </c>
      <c r="E778" s="530" t="s">
        <v>164</v>
      </c>
      <c r="F778" s="530" t="s">
        <v>151</v>
      </c>
      <c r="G778" s="530" t="s">
        <v>221</v>
      </c>
      <c r="H778" s="530"/>
      <c r="I778" s="530"/>
      <c r="J778" s="530"/>
      <c r="K778" s="530"/>
      <c r="L778" s="530"/>
      <c r="M778" s="530"/>
      <c r="N778" s="530"/>
      <c r="O778" s="530"/>
      <c r="P778" s="530"/>
      <c r="Q778" s="530"/>
      <c r="R778" s="530"/>
      <c r="S778" s="530"/>
      <c r="T778" s="530">
        <v>3616.6000000000004</v>
      </c>
      <c r="U778" s="530" t="s">
        <v>58</v>
      </c>
    </row>
    <row r="779" spans="1:21" ht="13.8" x14ac:dyDescent="0.3">
      <c r="A779" s="530" t="str">
        <f t="shared" si="20"/>
        <v>Conwy.2017.Accommodation - Bed Spaces.Serviced Accommodation 2</v>
      </c>
      <c r="B779" s="530" t="s">
        <v>219</v>
      </c>
      <c r="C779" s="530" t="str">
        <f t="shared" si="21"/>
        <v>2017.Accommodation - Bed Spaces.Serviced Accommodation 2</v>
      </c>
      <c r="D779" s="530" t="s">
        <v>236</v>
      </c>
      <c r="E779" s="530" t="s">
        <v>164</v>
      </c>
      <c r="F779" s="530" t="s">
        <v>152</v>
      </c>
      <c r="G779" s="530" t="s">
        <v>222</v>
      </c>
      <c r="H779" s="530"/>
      <c r="I779" s="530"/>
      <c r="J779" s="530"/>
      <c r="K779" s="530"/>
      <c r="L779" s="530"/>
      <c r="M779" s="530"/>
      <c r="N779" s="530"/>
      <c r="O779" s="530"/>
      <c r="P779" s="530"/>
      <c r="Q779" s="530"/>
      <c r="R779" s="530"/>
      <c r="S779" s="530"/>
      <c r="T779" s="530">
        <v>3296</v>
      </c>
      <c r="U779" s="530" t="s">
        <v>58</v>
      </c>
    </row>
    <row r="780" spans="1:21" ht="13.8" x14ac:dyDescent="0.3">
      <c r="A780" s="530" t="str">
        <f t="shared" si="20"/>
        <v>Conwy.2017.Accommodation - Bed Spaces.Serviced Accommodation 3</v>
      </c>
      <c r="B780" s="530" t="s">
        <v>219</v>
      </c>
      <c r="C780" s="530" t="str">
        <f t="shared" si="21"/>
        <v>2017.Accommodation - Bed Spaces.Serviced Accommodation 3</v>
      </c>
      <c r="D780" s="530" t="s">
        <v>236</v>
      </c>
      <c r="E780" s="530" t="s">
        <v>164</v>
      </c>
      <c r="F780" s="530" t="s">
        <v>153</v>
      </c>
      <c r="G780" s="530" t="s">
        <v>223</v>
      </c>
      <c r="H780" s="530"/>
      <c r="I780" s="530"/>
      <c r="J780" s="530"/>
      <c r="K780" s="530"/>
      <c r="L780" s="530"/>
      <c r="M780" s="530"/>
      <c r="N780" s="530"/>
      <c r="O780" s="530"/>
      <c r="P780" s="530"/>
      <c r="Q780" s="530"/>
      <c r="R780" s="530"/>
      <c r="S780" s="530"/>
      <c r="T780" s="530">
        <v>2863.7999999999993</v>
      </c>
      <c r="U780" s="530" t="s">
        <v>58</v>
      </c>
    </row>
    <row r="781" spans="1:21" ht="13.8" x14ac:dyDescent="0.3">
      <c r="A781" s="530" t="str">
        <f t="shared" si="20"/>
        <v>Conwy.2017.Accommodation - Bed Spaces.Serviced Accommodation 4</v>
      </c>
      <c r="B781" s="530" t="s">
        <v>219</v>
      </c>
      <c r="C781" s="530" t="str">
        <f t="shared" si="21"/>
        <v>2017.Accommodation - Bed Spaces.Serviced Accommodation 4</v>
      </c>
      <c r="D781" s="530" t="s">
        <v>236</v>
      </c>
      <c r="E781" s="530" t="s">
        <v>164</v>
      </c>
      <c r="F781" s="530" t="s">
        <v>154</v>
      </c>
      <c r="G781" s="530" t="s">
        <v>224</v>
      </c>
      <c r="H781" s="530"/>
      <c r="I781" s="530"/>
      <c r="J781" s="530"/>
      <c r="K781" s="530"/>
      <c r="L781" s="530"/>
      <c r="M781" s="530"/>
      <c r="N781" s="530"/>
      <c r="O781" s="530"/>
      <c r="P781" s="530"/>
      <c r="Q781" s="530"/>
      <c r="R781" s="530"/>
      <c r="S781" s="530"/>
      <c r="T781" s="530" t="s">
        <v>224</v>
      </c>
      <c r="U781" s="530" t="s">
        <v>58</v>
      </c>
    </row>
    <row r="782" spans="1:21" ht="13.8" x14ac:dyDescent="0.3">
      <c r="A782" s="530" t="str">
        <f t="shared" si="20"/>
        <v>Conwy.2017.Accommodation - Bed Spaces.Serviced Accommodation 5</v>
      </c>
      <c r="B782" s="530" t="s">
        <v>219</v>
      </c>
      <c r="C782" s="530" t="str">
        <f t="shared" si="21"/>
        <v>2017.Accommodation - Bed Spaces.Serviced Accommodation 5</v>
      </c>
      <c r="D782" s="530" t="s">
        <v>236</v>
      </c>
      <c r="E782" s="530" t="s">
        <v>164</v>
      </c>
      <c r="F782" s="530" t="s">
        <v>155</v>
      </c>
      <c r="G782" s="530" t="s">
        <v>224</v>
      </c>
      <c r="H782" s="530"/>
      <c r="I782" s="530"/>
      <c r="J782" s="530"/>
      <c r="K782" s="530"/>
      <c r="L782" s="530"/>
      <c r="M782" s="530"/>
      <c r="N782" s="530"/>
      <c r="O782" s="530"/>
      <c r="P782" s="530"/>
      <c r="Q782" s="530"/>
      <c r="R782" s="530"/>
      <c r="S782" s="530"/>
      <c r="T782" s="530" t="s">
        <v>224</v>
      </c>
      <c r="U782" s="530" t="s">
        <v>58</v>
      </c>
    </row>
    <row r="783" spans="1:21" ht="13.8" x14ac:dyDescent="0.3">
      <c r="A783" s="530" t="str">
        <f t="shared" si="20"/>
        <v>Conwy.2017.Accommodation - Bed Spaces.Serviced Accommodation Total</v>
      </c>
      <c r="B783" s="530" t="s">
        <v>219</v>
      </c>
      <c r="C783" s="530" t="str">
        <f t="shared" si="21"/>
        <v>2017.Accommodation - Bed Spaces.Serviced Accommodation Total</v>
      </c>
      <c r="D783" s="530" t="s">
        <v>236</v>
      </c>
      <c r="E783" s="530" t="s">
        <v>164</v>
      </c>
      <c r="F783" s="530" t="s">
        <v>161</v>
      </c>
      <c r="G783" s="530" t="s">
        <v>225</v>
      </c>
      <c r="H783" s="530"/>
      <c r="I783" s="530"/>
      <c r="J783" s="530"/>
      <c r="K783" s="530"/>
      <c r="L783" s="530"/>
      <c r="M783" s="530"/>
      <c r="N783" s="530"/>
      <c r="O783" s="530"/>
      <c r="P783" s="530"/>
      <c r="Q783" s="530"/>
      <c r="R783" s="530"/>
      <c r="S783" s="530"/>
      <c r="T783" s="530">
        <v>9776.4</v>
      </c>
      <c r="U783" s="530" t="s">
        <v>58</v>
      </c>
    </row>
    <row r="784" spans="1:21" ht="13.8" x14ac:dyDescent="0.3">
      <c r="A784" s="530" t="str">
        <f t="shared" si="20"/>
        <v>Conwy.2017.Accommodation - Bed Spaces.Non-Serviced Accommodation 1</v>
      </c>
      <c r="B784" s="530" t="s">
        <v>219</v>
      </c>
      <c r="C784" s="530" t="str">
        <f t="shared" si="21"/>
        <v>2017.Accommodation - Bed Spaces.Non-Serviced Accommodation 1</v>
      </c>
      <c r="D784" s="530" t="s">
        <v>236</v>
      </c>
      <c r="E784" s="530" t="s">
        <v>164</v>
      </c>
      <c r="F784" s="530" t="s">
        <v>156</v>
      </c>
      <c r="G784" s="530" t="s">
        <v>226</v>
      </c>
      <c r="H784" s="530"/>
      <c r="I784" s="530"/>
      <c r="J784" s="530"/>
      <c r="K784" s="530"/>
      <c r="L784" s="530"/>
      <c r="M784" s="530"/>
      <c r="N784" s="530"/>
      <c r="O784" s="530"/>
      <c r="P784" s="530"/>
      <c r="Q784" s="530"/>
      <c r="R784" s="530"/>
      <c r="S784" s="530"/>
      <c r="T784" s="530">
        <v>4736.2000000000007</v>
      </c>
      <c r="U784" s="530" t="s">
        <v>58</v>
      </c>
    </row>
    <row r="785" spans="1:21" ht="13.8" x14ac:dyDescent="0.3">
      <c r="A785" s="530" t="str">
        <f t="shared" si="20"/>
        <v>Conwy.2017.Accommodation - Bed Spaces.Non-Serviced Accommodation 2</v>
      </c>
      <c r="B785" s="530" t="s">
        <v>219</v>
      </c>
      <c r="C785" s="530" t="str">
        <f t="shared" si="21"/>
        <v>2017.Accommodation - Bed Spaces.Non-Serviced Accommodation 2</v>
      </c>
      <c r="D785" s="530" t="s">
        <v>236</v>
      </c>
      <c r="E785" s="530" t="s">
        <v>164</v>
      </c>
      <c r="F785" s="530" t="s">
        <v>157</v>
      </c>
      <c r="G785" s="530" t="s">
        <v>227</v>
      </c>
      <c r="H785" s="530"/>
      <c r="I785" s="530"/>
      <c r="J785" s="530"/>
      <c r="K785" s="530"/>
      <c r="L785" s="530"/>
      <c r="M785" s="530"/>
      <c r="N785" s="530"/>
      <c r="O785" s="530"/>
      <c r="P785" s="530"/>
      <c r="Q785" s="530"/>
      <c r="R785" s="530"/>
      <c r="S785" s="530"/>
      <c r="T785" s="530">
        <v>6937.7159333458148</v>
      </c>
      <c r="U785" s="530" t="s">
        <v>58</v>
      </c>
    </row>
    <row r="786" spans="1:21" ht="13.8" x14ac:dyDescent="0.3">
      <c r="A786" s="530" t="str">
        <f t="shared" si="20"/>
        <v>Conwy.2017.Accommodation - Bed Spaces.Non-Serviced Accommodation 3</v>
      </c>
      <c r="B786" s="530" t="s">
        <v>219</v>
      </c>
      <c r="C786" s="530" t="str">
        <f t="shared" si="21"/>
        <v>2017.Accommodation - Bed Spaces.Non-Serviced Accommodation 3</v>
      </c>
      <c r="D786" s="530" t="s">
        <v>236</v>
      </c>
      <c r="E786" s="530" t="s">
        <v>164</v>
      </c>
      <c r="F786" s="530" t="s">
        <v>158</v>
      </c>
      <c r="G786" s="530" t="s">
        <v>228</v>
      </c>
      <c r="H786" s="530"/>
      <c r="I786" s="530"/>
      <c r="J786" s="530"/>
      <c r="K786" s="530"/>
      <c r="L786" s="530"/>
      <c r="M786" s="530"/>
      <c r="N786" s="530"/>
      <c r="O786" s="530"/>
      <c r="P786" s="530"/>
      <c r="Q786" s="530"/>
      <c r="R786" s="530"/>
      <c r="S786" s="530"/>
      <c r="T786" s="530">
        <v>7433.4000000000015</v>
      </c>
      <c r="U786" s="530" t="s">
        <v>58</v>
      </c>
    </row>
    <row r="787" spans="1:21" ht="13.8" x14ac:dyDescent="0.3">
      <c r="A787" s="530" t="str">
        <f t="shared" si="20"/>
        <v>Conwy.2017.Accommodation - Bed Spaces.Non-Serviced Accommodation 4</v>
      </c>
      <c r="B787" s="530" t="s">
        <v>219</v>
      </c>
      <c r="C787" s="530" t="str">
        <f t="shared" si="21"/>
        <v>2017.Accommodation - Bed Spaces.Non-Serviced Accommodation 4</v>
      </c>
      <c r="D787" s="530" t="s">
        <v>236</v>
      </c>
      <c r="E787" s="530" t="s">
        <v>164</v>
      </c>
      <c r="F787" s="530" t="s">
        <v>159</v>
      </c>
      <c r="G787" s="530" t="s">
        <v>229</v>
      </c>
      <c r="H787" s="530"/>
      <c r="I787" s="530"/>
      <c r="J787" s="530"/>
      <c r="K787" s="530"/>
      <c r="L787" s="530"/>
      <c r="M787" s="530"/>
      <c r="N787" s="530"/>
      <c r="O787" s="530"/>
      <c r="P787" s="530"/>
      <c r="Q787" s="530"/>
      <c r="R787" s="530"/>
      <c r="S787" s="530"/>
      <c r="T787" s="530">
        <v>28492.058528365476</v>
      </c>
      <c r="U787" s="530" t="s">
        <v>58</v>
      </c>
    </row>
    <row r="788" spans="1:21" ht="13.8" x14ac:dyDescent="0.3">
      <c r="A788" s="530" t="str">
        <f t="shared" si="20"/>
        <v>Conwy.2017.Accommodation - Bed Spaces.Non-Serviced Accommodation 5</v>
      </c>
      <c r="B788" s="530" t="s">
        <v>219</v>
      </c>
      <c r="C788" s="530" t="str">
        <f t="shared" si="21"/>
        <v>2017.Accommodation - Bed Spaces.Non-Serviced Accommodation 5</v>
      </c>
      <c r="D788" s="530" t="s">
        <v>236</v>
      </c>
      <c r="E788" s="530" t="s">
        <v>164</v>
      </c>
      <c r="F788" s="530" t="s">
        <v>160</v>
      </c>
      <c r="G788" s="530" t="s">
        <v>237</v>
      </c>
      <c r="H788" s="530"/>
      <c r="I788" s="530"/>
      <c r="J788" s="530"/>
      <c r="K788" s="530"/>
      <c r="L788" s="530"/>
      <c r="M788" s="530"/>
      <c r="N788" s="530"/>
      <c r="O788" s="530"/>
      <c r="P788" s="530"/>
      <c r="Q788" s="530"/>
      <c r="R788" s="530"/>
      <c r="S788" s="530"/>
      <c r="T788" s="530">
        <v>1110.7936002175004</v>
      </c>
      <c r="U788" s="530" t="s">
        <v>58</v>
      </c>
    </row>
    <row r="789" spans="1:21" ht="13.8" x14ac:dyDescent="0.3">
      <c r="A789" s="530" t="str">
        <f t="shared" si="20"/>
        <v>Conwy.2017.Accommodation - Bed Spaces.Non-Serviced Accommodation Total</v>
      </c>
      <c r="B789" s="530" t="s">
        <v>219</v>
      </c>
      <c r="C789" s="530" t="str">
        <f t="shared" si="21"/>
        <v>2017.Accommodation - Bed Spaces.Non-Serviced Accommodation Total</v>
      </c>
      <c r="D789" s="530" t="s">
        <v>236</v>
      </c>
      <c r="E789" s="530" t="s">
        <v>164</v>
      </c>
      <c r="F789" s="530" t="s">
        <v>162</v>
      </c>
      <c r="G789" s="530" t="s">
        <v>230</v>
      </c>
      <c r="H789" s="530"/>
      <c r="I789" s="530"/>
      <c r="J789" s="530"/>
      <c r="K789" s="530"/>
      <c r="L789" s="530"/>
      <c r="M789" s="530"/>
      <c r="N789" s="530"/>
      <c r="O789" s="530"/>
      <c r="P789" s="530"/>
      <c r="Q789" s="530"/>
      <c r="R789" s="530"/>
      <c r="S789" s="530"/>
      <c r="T789" s="530">
        <v>48710.168061928794</v>
      </c>
      <c r="U789" s="530" t="s">
        <v>58</v>
      </c>
    </row>
    <row r="790" spans="1:21" ht="13.8" x14ac:dyDescent="0.3">
      <c r="A790" s="530" t="str">
        <f t="shared" si="20"/>
        <v>Conwy.2017.Accommodation - Bed Spaces.All Accommodation Types</v>
      </c>
      <c r="B790" s="530" t="s">
        <v>219</v>
      </c>
      <c r="C790" s="530" t="str">
        <f t="shared" si="21"/>
        <v>2017.Accommodation - Bed Spaces.All Accommodation Types</v>
      </c>
      <c r="D790" s="530" t="s">
        <v>236</v>
      </c>
      <c r="E790" s="530" t="s">
        <v>164</v>
      </c>
      <c r="F790" s="530" t="s">
        <v>163</v>
      </c>
      <c r="G790" s="530" t="s">
        <v>38</v>
      </c>
      <c r="H790" s="530"/>
      <c r="I790" s="530"/>
      <c r="J790" s="530"/>
      <c r="K790" s="530"/>
      <c r="L790" s="530"/>
      <c r="M790" s="530"/>
      <c r="N790" s="530"/>
      <c r="O790" s="530"/>
      <c r="P790" s="530"/>
      <c r="Q790" s="530"/>
      <c r="R790" s="530"/>
      <c r="S790" s="530"/>
      <c r="T790" s="530">
        <v>58486.568061928796</v>
      </c>
      <c r="U790" s="530" t="s">
        <v>58</v>
      </c>
    </row>
    <row r="791" spans="1:21" ht="13.8" x14ac:dyDescent="0.3">
      <c r="A791" s="530" t="str">
        <f t="shared" si="20"/>
        <v>Conwy.2018.Accommodation - Establishments.Serviced Accommodation 1</v>
      </c>
      <c r="B791" s="530" t="s">
        <v>219</v>
      </c>
      <c r="C791" s="530" t="str">
        <f t="shared" si="21"/>
        <v>2018.Accommodation - Establishments.Serviced Accommodation 1</v>
      </c>
      <c r="D791" s="530" t="s">
        <v>238</v>
      </c>
      <c r="E791" s="530" t="s">
        <v>150</v>
      </c>
      <c r="F791" s="530" t="s">
        <v>151</v>
      </c>
      <c r="G791" s="530" t="s">
        <v>221</v>
      </c>
      <c r="H791" s="530"/>
      <c r="I791" s="530"/>
      <c r="J791" s="530"/>
      <c r="K791" s="530"/>
      <c r="L791" s="530"/>
      <c r="M791" s="530"/>
      <c r="N791" s="530"/>
      <c r="O791" s="530"/>
      <c r="P791" s="530"/>
      <c r="Q791" s="530"/>
      <c r="R791" s="530"/>
      <c r="S791" s="530"/>
      <c r="T791" s="530">
        <v>22</v>
      </c>
      <c r="U791" s="530" t="s">
        <v>149</v>
      </c>
    </row>
    <row r="792" spans="1:21" ht="13.8" x14ac:dyDescent="0.3">
      <c r="A792" s="530" t="str">
        <f t="shared" si="20"/>
        <v>Conwy.2018.Accommodation - Establishments.Serviced Accommodation 2</v>
      </c>
      <c r="B792" s="530" t="s">
        <v>219</v>
      </c>
      <c r="C792" s="530" t="str">
        <f t="shared" si="21"/>
        <v>2018.Accommodation - Establishments.Serviced Accommodation 2</v>
      </c>
      <c r="D792" s="530" t="s">
        <v>238</v>
      </c>
      <c r="E792" s="530" t="s">
        <v>150</v>
      </c>
      <c r="F792" s="530" t="s">
        <v>152</v>
      </c>
      <c r="G792" s="530" t="s">
        <v>222</v>
      </c>
      <c r="H792" s="530"/>
      <c r="I792" s="530"/>
      <c r="J792" s="530"/>
      <c r="K792" s="530"/>
      <c r="L792" s="530"/>
      <c r="M792" s="530"/>
      <c r="N792" s="530"/>
      <c r="O792" s="530"/>
      <c r="P792" s="530"/>
      <c r="Q792" s="530"/>
      <c r="R792" s="530"/>
      <c r="S792" s="530"/>
      <c r="T792" s="530">
        <v>68</v>
      </c>
      <c r="U792" s="530" t="s">
        <v>149</v>
      </c>
    </row>
    <row r="793" spans="1:21" ht="13.8" x14ac:dyDescent="0.3">
      <c r="A793" s="530" t="str">
        <f t="shared" si="20"/>
        <v>Conwy.2018.Accommodation - Establishments.Serviced Accommodation 3</v>
      </c>
      <c r="B793" s="530" t="s">
        <v>219</v>
      </c>
      <c r="C793" s="530" t="str">
        <f t="shared" si="21"/>
        <v>2018.Accommodation - Establishments.Serviced Accommodation 3</v>
      </c>
      <c r="D793" s="530" t="s">
        <v>238</v>
      </c>
      <c r="E793" s="530" t="s">
        <v>150</v>
      </c>
      <c r="F793" s="530" t="s">
        <v>153</v>
      </c>
      <c r="G793" s="530" t="s">
        <v>223</v>
      </c>
      <c r="H793" s="530"/>
      <c r="I793" s="530"/>
      <c r="J793" s="530"/>
      <c r="K793" s="530"/>
      <c r="L793" s="530"/>
      <c r="M793" s="530"/>
      <c r="N793" s="530"/>
      <c r="O793" s="530"/>
      <c r="P793" s="530"/>
      <c r="Q793" s="530"/>
      <c r="R793" s="530"/>
      <c r="S793" s="530"/>
      <c r="T793" s="530">
        <v>227</v>
      </c>
      <c r="U793" s="530" t="s">
        <v>149</v>
      </c>
    </row>
    <row r="794" spans="1:21" ht="13.8" x14ac:dyDescent="0.3">
      <c r="A794" s="530" t="str">
        <f t="shared" si="20"/>
        <v>Conwy.2018.Accommodation - Establishments.Serviced Accommodation 4</v>
      </c>
      <c r="B794" s="530" t="s">
        <v>219</v>
      </c>
      <c r="C794" s="530" t="str">
        <f t="shared" si="21"/>
        <v>2018.Accommodation - Establishments.Serviced Accommodation 4</v>
      </c>
      <c r="D794" s="530" t="s">
        <v>238</v>
      </c>
      <c r="E794" s="530" t="s">
        <v>150</v>
      </c>
      <c r="F794" s="530" t="s">
        <v>154</v>
      </c>
      <c r="G794" s="530" t="s">
        <v>224</v>
      </c>
      <c r="H794" s="530"/>
      <c r="I794" s="530"/>
      <c r="J794" s="530"/>
      <c r="K794" s="530"/>
      <c r="L794" s="530"/>
      <c r="M794" s="530"/>
      <c r="N794" s="530"/>
      <c r="O794" s="530"/>
      <c r="P794" s="530"/>
      <c r="Q794" s="530"/>
      <c r="R794" s="530"/>
      <c r="S794" s="530"/>
      <c r="T794" s="530" t="s">
        <v>224</v>
      </c>
      <c r="U794" s="530" t="s">
        <v>149</v>
      </c>
    </row>
    <row r="795" spans="1:21" ht="13.8" x14ac:dyDescent="0.3">
      <c r="A795" s="530" t="str">
        <f t="shared" si="20"/>
        <v>Conwy.2018.Accommodation - Establishments.Serviced Accommodation 5</v>
      </c>
      <c r="B795" s="530" t="s">
        <v>219</v>
      </c>
      <c r="C795" s="530" t="str">
        <f t="shared" si="21"/>
        <v>2018.Accommodation - Establishments.Serviced Accommodation 5</v>
      </c>
      <c r="D795" s="530" t="s">
        <v>238</v>
      </c>
      <c r="E795" s="530" t="s">
        <v>150</v>
      </c>
      <c r="F795" s="530" t="s">
        <v>155</v>
      </c>
      <c r="G795" s="530" t="s">
        <v>224</v>
      </c>
      <c r="H795" s="530"/>
      <c r="I795" s="530"/>
      <c r="J795" s="530"/>
      <c r="K795" s="530"/>
      <c r="L795" s="530"/>
      <c r="M795" s="530"/>
      <c r="N795" s="530"/>
      <c r="O795" s="530"/>
      <c r="P795" s="530"/>
      <c r="Q795" s="530"/>
      <c r="R795" s="530"/>
      <c r="S795" s="530"/>
      <c r="T795" s="530" t="s">
        <v>224</v>
      </c>
      <c r="U795" s="530" t="s">
        <v>149</v>
      </c>
    </row>
    <row r="796" spans="1:21" ht="15" customHeight="1" x14ac:dyDescent="0.3">
      <c r="A796" s="530" t="str">
        <f t="shared" si="20"/>
        <v>Conwy.2018.Accommodation - Establishments.Serviced Accommodation Total</v>
      </c>
      <c r="B796" s="530" t="s">
        <v>219</v>
      </c>
      <c r="C796" s="530" t="str">
        <f t="shared" si="21"/>
        <v>2018.Accommodation - Establishments.Serviced Accommodation Total</v>
      </c>
      <c r="D796" s="530" t="s">
        <v>238</v>
      </c>
      <c r="E796" s="530" t="s">
        <v>150</v>
      </c>
      <c r="F796" s="530" t="s">
        <v>161</v>
      </c>
      <c r="G796" s="530" t="s">
        <v>225</v>
      </c>
      <c r="H796" s="530"/>
      <c r="I796" s="530"/>
      <c r="J796" s="530"/>
      <c r="K796" s="530"/>
      <c r="L796" s="530"/>
      <c r="M796" s="530"/>
      <c r="N796" s="530"/>
      <c r="O796" s="530"/>
      <c r="P796" s="530"/>
      <c r="Q796" s="530"/>
      <c r="R796" s="530"/>
      <c r="S796" s="530"/>
      <c r="T796" s="530">
        <v>317</v>
      </c>
      <c r="U796" s="530" t="s">
        <v>149</v>
      </c>
    </row>
    <row r="797" spans="1:21" ht="15" customHeight="1" x14ac:dyDescent="0.3">
      <c r="A797" s="530" t="str">
        <f t="shared" si="20"/>
        <v>Conwy.2018.Accommodation - Establishments.Non-Serviced Accommodation 1</v>
      </c>
      <c r="B797" s="530" t="s">
        <v>219</v>
      </c>
      <c r="C797" s="530" t="str">
        <f t="shared" si="21"/>
        <v>2018.Accommodation - Establishments.Non-Serviced Accommodation 1</v>
      </c>
      <c r="D797" s="530" t="s">
        <v>238</v>
      </c>
      <c r="E797" s="530" t="s">
        <v>150</v>
      </c>
      <c r="F797" s="530" t="s">
        <v>156</v>
      </c>
      <c r="G797" s="530" t="s">
        <v>226</v>
      </c>
      <c r="H797" s="530"/>
      <c r="I797" s="530"/>
      <c r="J797" s="530"/>
      <c r="K797" s="530"/>
      <c r="L797" s="530"/>
      <c r="M797" s="530"/>
      <c r="N797" s="530"/>
      <c r="O797" s="530"/>
      <c r="P797" s="530"/>
      <c r="Q797" s="530"/>
      <c r="R797" s="530"/>
      <c r="S797" s="530"/>
      <c r="T797" s="530">
        <v>770</v>
      </c>
      <c r="U797" s="530" t="s">
        <v>149</v>
      </c>
    </row>
    <row r="798" spans="1:21" ht="15" customHeight="1" x14ac:dyDescent="0.3">
      <c r="A798" s="530" t="str">
        <f t="shared" si="20"/>
        <v>Conwy.2018.Accommodation - Establishments.Non-Serviced Accommodation 2</v>
      </c>
      <c r="B798" s="530" t="s">
        <v>219</v>
      </c>
      <c r="C798" s="530" t="str">
        <f t="shared" si="21"/>
        <v>2018.Accommodation - Establishments.Non-Serviced Accommodation 2</v>
      </c>
      <c r="D798" s="530" t="s">
        <v>238</v>
      </c>
      <c r="E798" s="530" t="s">
        <v>150</v>
      </c>
      <c r="F798" s="530" t="s">
        <v>157</v>
      </c>
      <c r="G798" s="530" t="s">
        <v>227</v>
      </c>
      <c r="H798" s="530"/>
      <c r="I798" s="530"/>
      <c r="J798" s="530"/>
      <c r="K798" s="530"/>
      <c r="L798" s="530"/>
      <c r="M798" s="530"/>
      <c r="N798" s="530"/>
      <c r="O798" s="530"/>
      <c r="P798" s="530"/>
      <c r="Q798" s="530"/>
      <c r="R798" s="530"/>
      <c r="S798" s="530"/>
      <c r="T798" s="530">
        <v>88</v>
      </c>
      <c r="U798" s="530" t="s">
        <v>149</v>
      </c>
    </row>
    <row r="799" spans="1:21" ht="15" customHeight="1" x14ac:dyDescent="0.3">
      <c r="A799" s="530" t="str">
        <f t="shared" si="20"/>
        <v>Conwy.2018.Accommodation - Establishments.Non-Serviced Accommodation 3</v>
      </c>
      <c r="B799" s="530" t="s">
        <v>219</v>
      </c>
      <c r="C799" s="530" t="str">
        <f t="shared" si="21"/>
        <v>2018.Accommodation - Establishments.Non-Serviced Accommodation 3</v>
      </c>
      <c r="D799" s="530" t="s">
        <v>238</v>
      </c>
      <c r="E799" s="530" t="s">
        <v>150</v>
      </c>
      <c r="F799" s="530" t="s">
        <v>158</v>
      </c>
      <c r="G799" s="530" t="s">
        <v>228</v>
      </c>
      <c r="H799" s="530"/>
      <c r="I799" s="530"/>
      <c r="J799" s="530"/>
      <c r="K799" s="530"/>
      <c r="L799" s="530"/>
      <c r="M799" s="530"/>
      <c r="N799" s="530"/>
      <c r="O799" s="530"/>
      <c r="P799" s="530"/>
      <c r="Q799" s="530"/>
      <c r="R799" s="530"/>
      <c r="S799" s="530"/>
      <c r="T799" s="530">
        <v>58</v>
      </c>
      <c r="U799" s="530" t="s">
        <v>149</v>
      </c>
    </row>
    <row r="800" spans="1:21" ht="15" customHeight="1" x14ac:dyDescent="0.3">
      <c r="A800" s="530" t="str">
        <f t="shared" si="20"/>
        <v>Conwy.2018.Accommodation - Establishments.Non-Serviced Accommodation 4</v>
      </c>
      <c r="B800" s="530" t="s">
        <v>219</v>
      </c>
      <c r="C800" s="530" t="str">
        <f t="shared" si="21"/>
        <v>2018.Accommodation - Establishments.Non-Serviced Accommodation 4</v>
      </c>
      <c r="D800" s="530" t="s">
        <v>238</v>
      </c>
      <c r="E800" s="530" t="s">
        <v>150</v>
      </c>
      <c r="F800" s="530" t="s">
        <v>159</v>
      </c>
      <c r="G800" s="530" t="s">
        <v>229</v>
      </c>
      <c r="H800" s="530"/>
      <c r="I800" s="530"/>
      <c r="J800" s="530"/>
      <c r="K800" s="530"/>
      <c r="L800" s="530"/>
      <c r="M800" s="530"/>
      <c r="N800" s="530"/>
      <c r="O800" s="530"/>
      <c r="P800" s="530"/>
      <c r="Q800" s="530"/>
      <c r="R800" s="530"/>
      <c r="S800" s="530"/>
      <c r="T800" s="530">
        <v>0</v>
      </c>
      <c r="U800" s="530" t="s">
        <v>149</v>
      </c>
    </row>
    <row r="801" spans="1:21" ht="15" customHeight="1" x14ac:dyDescent="0.3">
      <c r="A801" s="530" t="str">
        <f t="shared" si="20"/>
        <v>Conwy.2018.Accommodation - Establishments.Non-Serviced Accommodation 5</v>
      </c>
      <c r="B801" s="530" t="s">
        <v>219</v>
      </c>
      <c r="C801" s="530" t="str">
        <f t="shared" si="21"/>
        <v>2018.Accommodation - Establishments.Non-Serviced Accommodation 5</v>
      </c>
      <c r="D801" s="530" t="s">
        <v>238</v>
      </c>
      <c r="E801" s="530" t="s">
        <v>150</v>
      </c>
      <c r="F801" s="530" t="s">
        <v>160</v>
      </c>
      <c r="G801" s="530" t="s">
        <v>237</v>
      </c>
      <c r="H801" s="530"/>
      <c r="I801" s="530"/>
      <c r="J801" s="530"/>
      <c r="K801" s="530"/>
      <c r="L801" s="530"/>
      <c r="M801" s="530"/>
      <c r="N801" s="530"/>
      <c r="O801" s="530"/>
      <c r="P801" s="530"/>
      <c r="Q801" s="530"/>
      <c r="R801" s="530"/>
      <c r="S801" s="530"/>
      <c r="T801" s="530">
        <v>0</v>
      </c>
      <c r="U801" s="530" t="s">
        <v>149</v>
      </c>
    </row>
    <row r="802" spans="1:21" ht="15" customHeight="1" x14ac:dyDescent="0.3">
      <c r="A802" s="530" t="str">
        <f t="shared" si="20"/>
        <v>Conwy.2018.Accommodation - Establishments.Non-Serviced Accommodation Total</v>
      </c>
      <c r="B802" s="530" t="s">
        <v>219</v>
      </c>
      <c r="C802" s="530" t="str">
        <f t="shared" si="21"/>
        <v>2018.Accommodation - Establishments.Non-Serviced Accommodation Total</v>
      </c>
      <c r="D802" s="530" t="s">
        <v>238</v>
      </c>
      <c r="E802" s="530" t="s">
        <v>150</v>
      </c>
      <c r="F802" s="530" t="s">
        <v>162</v>
      </c>
      <c r="G802" s="530" t="s">
        <v>230</v>
      </c>
      <c r="H802" s="530"/>
      <c r="I802" s="530"/>
      <c r="J802" s="530"/>
      <c r="K802" s="530"/>
      <c r="L802" s="530"/>
      <c r="M802" s="530"/>
      <c r="N802" s="530"/>
      <c r="O802" s="530"/>
      <c r="P802" s="530"/>
      <c r="Q802" s="530"/>
      <c r="R802" s="530"/>
      <c r="S802" s="530"/>
      <c r="T802" s="530">
        <v>916</v>
      </c>
      <c r="U802" s="530" t="s">
        <v>149</v>
      </c>
    </row>
    <row r="803" spans="1:21" ht="15" customHeight="1" x14ac:dyDescent="0.3">
      <c r="A803" s="530" t="str">
        <f t="shared" si="20"/>
        <v>Conwy.2018.Accommodation - Establishments.All Accommodation Types</v>
      </c>
      <c r="B803" s="530" t="s">
        <v>219</v>
      </c>
      <c r="C803" s="530" t="str">
        <f t="shared" si="21"/>
        <v>2018.Accommodation - Establishments.All Accommodation Types</v>
      </c>
      <c r="D803" s="530" t="s">
        <v>238</v>
      </c>
      <c r="E803" s="530" t="s">
        <v>150</v>
      </c>
      <c r="F803" s="530" t="s">
        <v>163</v>
      </c>
      <c r="G803" s="530" t="s">
        <v>38</v>
      </c>
      <c r="H803" s="530"/>
      <c r="I803" s="530"/>
      <c r="J803" s="530"/>
      <c r="K803" s="530"/>
      <c r="L803" s="530"/>
      <c r="M803" s="530"/>
      <c r="N803" s="530"/>
      <c r="O803" s="530"/>
      <c r="P803" s="530"/>
      <c r="Q803" s="530"/>
      <c r="R803" s="530"/>
      <c r="S803" s="530"/>
      <c r="T803" s="530">
        <v>1233</v>
      </c>
      <c r="U803" s="530" t="s">
        <v>149</v>
      </c>
    </row>
    <row r="804" spans="1:21" ht="13.8" x14ac:dyDescent="0.3">
      <c r="A804" s="530" t="str">
        <f t="shared" si="20"/>
        <v>Conwy.2018.Accommodation - Bed Spaces.Serviced Accommodation 1</v>
      </c>
      <c r="B804" s="530" t="s">
        <v>219</v>
      </c>
      <c r="C804" s="530" t="str">
        <f t="shared" si="21"/>
        <v>2018.Accommodation - Bed Spaces.Serviced Accommodation 1</v>
      </c>
      <c r="D804" s="530" t="s">
        <v>238</v>
      </c>
      <c r="E804" s="530" t="s">
        <v>164</v>
      </c>
      <c r="F804" s="530" t="s">
        <v>151</v>
      </c>
      <c r="G804" s="530" t="s">
        <v>221</v>
      </c>
      <c r="H804" s="530"/>
      <c r="I804" s="530"/>
      <c r="J804" s="530"/>
      <c r="K804" s="530"/>
      <c r="L804" s="530"/>
      <c r="M804" s="530"/>
      <c r="N804" s="530"/>
      <c r="O804" s="530"/>
      <c r="P804" s="530"/>
      <c r="Q804" s="530"/>
      <c r="R804" s="530"/>
      <c r="S804" s="530"/>
      <c r="T804" s="530">
        <v>3535</v>
      </c>
      <c r="U804" s="530" t="s">
        <v>58</v>
      </c>
    </row>
    <row r="805" spans="1:21" ht="13.8" x14ac:dyDescent="0.3">
      <c r="A805" s="530" t="str">
        <f t="shared" si="20"/>
        <v>Conwy.2018.Accommodation - Bed Spaces.Serviced Accommodation 2</v>
      </c>
      <c r="B805" s="530" t="s">
        <v>219</v>
      </c>
      <c r="C805" s="530" t="str">
        <f t="shared" si="21"/>
        <v>2018.Accommodation - Bed Spaces.Serviced Accommodation 2</v>
      </c>
      <c r="D805" s="530" t="s">
        <v>238</v>
      </c>
      <c r="E805" s="530" t="s">
        <v>164</v>
      </c>
      <c r="F805" s="530" t="s">
        <v>152</v>
      </c>
      <c r="G805" s="530" t="s">
        <v>222</v>
      </c>
      <c r="H805" s="530"/>
      <c r="I805" s="530"/>
      <c r="J805" s="530"/>
      <c r="K805" s="530"/>
      <c r="L805" s="530"/>
      <c r="M805" s="530"/>
      <c r="N805" s="530"/>
      <c r="O805" s="530"/>
      <c r="P805" s="530"/>
      <c r="Q805" s="530"/>
      <c r="R805" s="530"/>
      <c r="S805" s="530"/>
      <c r="T805" s="530">
        <v>3022</v>
      </c>
      <c r="U805" s="530" t="s">
        <v>58</v>
      </c>
    </row>
    <row r="806" spans="1:21" ht="13.8" x14ac:dyDescent="0.3">
      <c r="A806" s="530" t="str">
        <f t="shared" si="20"/>
        <v>Conwy.2018.Accommodation - Bed Spaces.Serviced Accommodation 3</v>
      </c>
      <c r="B806" s="530" t="s">
        <v>219</v>
      </c>
      <c r="C806" s="530" t="str">
        <f t="shared" si="21"/>
        <v>2018.Accommodation - Bed Spaces.Serviced Accommodation 3</v>
      </c>
      <c r="D806" s="530" t="s">
        <v>238</v>
      </c>
      <c r="E806" s="530" t="s">
        <v>164</v>
      </c>
      <c r="F806" s="530" t="s">
        <v>153</v>
      </c>
      <c r="G806" s="530" t="s">
        <v>223</v>
      </c>
      <c r="H806" s="530"/>
      <c r="I806" s="530"/>
      <c r="J806" s="530"/>
      <c r="K806" s="530"/>
      <c r="L806" s="530"/>
      <c r="M806" s="530"/>
      <c r="N806" s="530"/>
      <c r="O806" s="530"/>
      <c r="P806" s="530"/>
      <c r="Q806" s="530"/>
      <c r="R806" s="530"/>
      <c r="S806" s="530"/>
      <c r="T806" s="530">
        <v>2736</v>
      </c>
      <c r="U806" s="530" t="s">
        <v>58</v>
      </c>
    </row>
    <row r="807" spans="1:21" ht="13.8" x14ac:dyDescent="0.3">
      <c r="A807" s="530" t="str">
        <f t="shared" si="20"/>
        <v>Conwy.2018.Accommodation - Bed Spaces.Serviced Accommodation 4</v>
      </c>
      <c r="B807" s="530" t="s">
        <v>219</v>
      </c>
      <c r="C807" s="530" t="str">
        <f t="shared" si="21"/>
        <v>2018.Accommodation - Bed Spaces.Serviced Accommodation 4</v>
      </c>
      <c r="D807" s="530" t="s">
        <v>238</v>
      </c>
      <c r="E807" s="530" t="s">
        <v>164</v>
      </c>
      <c r="F807" s="530" t="s">
        <v>154</v>
      </c>
      <c r="G807" s="530" t="s">
        <v>224</v>
      </c>
      <c r="H807" s="530"/>
      <c r="I807" s="530"/>
      <c r="J807" s="530"/>
      <c r="K807" s="530"/>
      <c r="L807" s="530"/>
      <c r="M807" s="530"/>
      <c r="N807" s="530"/>
      <c r="O807" s="530"/>
      <c r="P807" s="530"/>
      <c r="Q807" s="530"/>
      <c r="R807" s="530"/>
      <c r="S807" s="530"/>
      <c r="T807" s="530" t="s">
        <v>224</v>
      </c>
      <c r="U807" s="530" t="s">
        <v>58</v>
      </c>
    </row>
    <row r="808" spans="1:21" ht="13.8" x14ac:dyDescent="0.3">
      <c r="A808" s="530" t="str">
        <f t="shared" si="20"/>
        <v>Conwy.2018.Accommodation - Bed Spaces.Serviced Accommodation 5</v>
      </c>
      <c r="B808" s="530" t="s">
        <v>219</v>
      </c>
      <c r="C808" s="530" t="str">
        <f t="shared" si="21"/>
        <v>2018.Accommodation - Bed Spaces.Serviced Accommodation 5</v>
      </c>
      <c r="D808" s="530" t="s">
        <v>238</v>
      </c>
      <c r="E808" s="530" t="s">
        <v>164</v>
      </c>
      <c r="F808" s="530" t="s">
        <v>155</v>
      </c>
      <c r="G808" s="530" t="s">
        <v>224</v>
      </c>
      <c r="H808" s="530"/>
      <c r="I808" s="530"/>
      <c r="J808" s="530"/>
      <c r="K808" s="530"/>
      <c r="L808" s="530"/>
      <c r="M808" s="530"/>
      <c r="N808" s="530"/>
      <c r="O808" s="530"/>
      <c r="P808" s="530"/>
      <c r="Q808" s="530"/>
      <c r="R808" s="530"/>
      <c r="S808" s="530"/>
      <c r="T808" s="530" t="s">
        <v>224</v>
      </c>
      <c r="U808" s="530" t="s">
        <v>58</v>
      </c>
    </row>
    <row r="809" spans="1:21" ht="13.8" x14ac:dyDescent="0.3">
      <c r="A809" s="530" t="str">
        <f t="shared" si="20"/>
        <v>Conwy.2018.Accommodation - Bed Spaces.Serviced Accommodation Total</v>
      </c>
      <c r="B809" s="530" t="s">
        <v>219</v>
      </c>
      <c r="C809" s="530" t="str">
        <f t="shared" si="21"/>
        <v>2018.Accommodation - Bed Spaces.Serviced Accommodation Total</v>
      </c>
      <c r="D809" s="530" t="s">
        <v>238</v>
      </c>
      <c r="E809" s="530" t="s">
        <v>164</v>
      </c>
      <c r="F809" s="530" t="s">
        <v>161</v>
      </c>
      <c r="G809" s="530" t="s">
        <v>225</v>
      </c>
      <c r="H809" s="530"/>
      <c r="I809" s="530"/>
      <c r="J809" s="530"/>
      <c r="K809" s="530"/>
      <c r="L809" s="530"/>
      <c r="M809" s="530"/>
      <c r="N809" s="530"/>
      <c r="O809" s="530"/>
      <c r="P809" s="530"/>
      <c r="Q809" s="530"/>
      <c r="R809" s="530"/>
      <c r="S809" s="530"/>
      <c r="T809" s="530">
        <v>9293</v>
      </c>
      <c r="U809" s="530" t="s">
        <v>58</v>
      </c>
    </row>
    <row r="810" spans="1:21" ht="13.8" x14ac:dyDescent="0.3">
      <c r="A810" s="530" t="str">
        <f t="shared" si="20"/>
        <v>Conwy.2018.Accommodation - Bed Spaces.Non-Serviced Accommodation 1</v>
      </c>
      <c r="B810" s="530" t="s">
        <v>219</v>
      </c>
      <c r="C810" s="530" t="str">
        <f t="shared" si="21"/>
        <v>2018.Accommodation - Bed Spaces.Non-Serviced Accommodation 1</v>
      </c>
      <c r="D810" s="530" t="s">
        <v>238</v>
      </c>
      <c r="E810" s="530" t="s">
        <v>164</v>
      </c>
      <c r="F810" s="530" t="s">
        <v>156</v>
      </c>
      <c r="G810" s="530" t="s">
        <v>226</v>
      </c>
      <c r="H810" s="530"/>
      <c r="I810" s="530"/>
      <c r="J810" s="530"/>
      <c r="K810" s="530"/>
      <c r="L810" s="530"/>
      <c r="M810" s="530"/>
      <c r="N810" s="530"/>
      <c r="O810" s="530"/>
      <c r="P810" s="530"/>
      <c r="Q810" s="530"/>
      <c r="R810" s="530"/>
      <c r="S810" s="530"/>
      <c r="T810" s="530">
        <v>4827</v>
      </c>
      <c r="U810" s="530" t="s">
        <v>58</v>
      </c>
    </row>
    <row r="811" spans="1:21" ht="13.8" x14ac:dyDescent="0.3">
      <c r="A811" s="530" t="str">
        <f t="shared" si="20"/>
        <v>Conwy.2018.Accommodation - Bed Spaces.Non-Serviced Accommodation 2</v>
      </c>
      <c r="B811" s="530" t="s">
        <v>219</v>
      </c>
      <c r="C811" s="530" t="str">
        <f t="shared" si="21"/>
        <v>2018.Accommodation - Bed Spaces.Non-Serviced Accommodation 2</v>
      </c>
      <c r="D811" s="530" t="s">
        <v>238</v>
      </c>
      <c r="E811" s="530" t="s">
        <v>164</v>
      </c>
      <c r="F811" s="530" t="s">
        <v>157</v>
      </c>
      <c r="G811" s="530" t="s">
        <v>227</v>
      </c>
      <c r="H811" s="530"/>
      <c r="I811" s="530"/>
      <c r="J811" s="530"/>
      <c r="K811" s="530"/>
      <c r="L811" s="530"/>
      <c r="M811" s="530"/>
      <c r="N811" s="530"/>
      <c r="O811" s="530"/>
      <c r="P811" s="530"/>
      <c r="Q811" s="530"/>
      <c r="R811" s="530"/>
      <c r="S811" s="530"/>
      <c r="T811" s="530">
        <v>6895.2570679648015</v>
      </c>
      <c r="U811" s="530" t="s">
        <v>58</v>
      </c>
    </row>
    <row r="812" spans="1:21" ht="13.8" x14ac:dyDescent="0.3">
      <c r="A812" s="530" t="str">
        <f t="shared" si="20"/>
        <v>Conwy.2018.Accommodation - Bed Spaces.Non-Serviced Accommodation 3</v>
      </c>
      <c r="B812" s="530" t="s">
        <v>219</v>
      </c>
      <c r="C812" s="530" t="str">
        <f t="shared" si="21"/>
        <v>2018.Accommodation - Bed Spaces.Non-Serviced Accommodation 3</v>
      </c>
      <c r="D812" s="530" t="s">
        <v>238</v>
      </c>
      <c r="E812" s="530" t="s">
        <v>164</v>
      </c>
      <c r="F812" s="530" t="s">
        <v>158</v>
      </c>
      <c r="G812" s="530" t="s">
        <v>228</v>
      </c>
      <c r="H812" s="530"/>
      <c r="I812" s="530"/>
      <c r="J812" s="530"/>
      <c r="K812" s="530"/>
      <c r="L812" s="530"/>
      <c r="M812" s="530"/>
      <c r="N812" s="530"/>
      <c r="O812" s="530"/>
      <c r="P812" s="530"/>
      <c r="Q812" s="530"/>
      <c r="R812" s="530"/>
      <c r="S812" s="530"/>
      <c r="T812" s="530">
        <v>7113</v>
      </c>
      <c r="U812" s="530" t="s">
        <v>58</v>
      </c>
    </row>
    <row r="813" spans="1:21" ht="13.8" x14ac:dyDescent="0.3">
      <c r="A813" s="530" t="str">
        <f t="shared" si="20"/>
        <v>Conwy.2018.Accommodation - Bed Spaces.Non-Serviced Accommodation 4</v>
      </c>
      <c r="B813" s="530" t="s">
        <v>219</v>
      </c>
      <c r="C813" s="530" t="str">
        <f t="shared" si="21"/>
        <v>2018.Accommodation - Bed Spaces.Non-Serviced Accommodation 4</v>
      </c>
      <c r="D813" s="530" t="s">
        <v>238</v>
      </c>
      <c r="E813" s="530" t="s">
        <v>164</v>
      </c>
      <c r="F813" s="530" t="s">
        <v>159</v>
      </c>
      <c r="G813" s="530" t="s">
        <v>229</v>
      </c>
      <c r="H813" s="530"/>
      <c r="I813" s="530"/>
      <c r="J813" s="530"/>
      <c r="K813" s="530"/>
      <c r="L813" s="530"/>
      <c r="M813" s="530"/>
      <c r="N813" s="530"/>
      <c r="O813" s="530"/>
      <c r="P813" s="530"/>
      <c r="Q813" s="530"/>
      <c r="R813" s="530"/>
      <c r="S813" s="530"/>
      <c r="T813" s="530">
        <v>28317.686950009363</v>
      </c>
      <c r="U813" s="530" t="s">
        <v>58</v>
      </c>
    </row>
    <row r="814" spans="1:21" ht="13.8" x14ac:dyDescent="0.3">
      <c r="A814" s="530" t="str">
        <f t="shared" si="20"/>
        <v>Conwy.2018.Accommodation - Bed Spaces.Non-Serviced Accommodation 5</v>
      </c>
      <c r="B814" s="530" t="s">
        <v>219</v>
      </c>
      <c r="C814" s="530" t="str">
        <f t="shared" si="21"/>
        <v>2018.Accommodation - Bed Spaces.Non-Serviced Accommodation 5</v>
      </c>
      <c r="D814" s="530" t="s">
        <v>238</v>
      </c>
      <c r="E814" s="530" t="s">
        <v>164</v>
      </c>
      <c r="F814" s="530" t="s">
        <v>160</v>
      </c>
      <c r="G814" s="530" t="s">
        <v>237</v>
      </c>
      <c r="H814" s="530"/>
      <c r="I814" s="530"/>
      <c r="J814" s="530"/>
      <c r="K814" s="530"/>
      <c r="L814" s="530"/>
      <c r="M814" s="530"/>
      <c r="N814" s="530"/>
      <c r="O814" s="530"/>
      <c r="P814" s="530"/>
      <c r="Q814" s="530"/>
      <c r="R814" s="530"/>
      <c r="S814" s="530"/>
      <c r="T814" s="530">
        <v>2211.913126130833</v>
      </c>
      <c r="U814" s="530" t="s">
        <v>58</v>
      </c>
    </row>
    <row r="815" spans="1:21" ht="13.8" x14ac:dyDescent="0.3">
      <c r="A815" s="530" t="str">
        <f t="shared" si="20"/>
        <v>Conwy.2018.Accommodation - Bed Spaces.Non-Serviced Accommodation Total</v>
      </c>
      <c r="B815" s="530" t="s">
        <v>219</v>
      </c>
      <c r="C815" s="530" t="str">
        <f t="shared" si="21"/>
        <v>2018.Accommodation - Bed Spaces.Non-Serviced Accommodation Total</v>
      </c>
      <c r="D815" s="530" t="s">
        <v>238</v>
      </c>
      <c r="E815" s="530" t="s">
        <v>164</v>
      </c>
      <c r="F815" s="530" t="s">
        <v>162</v>
      </c>
      <c r="G815" s="530" t="s">
        <v>230</v>
      </c>
      <c r="H815" s="530"/>
      <c r="I815" s="530"/>
      <c r="J815" s="530"/>
      <c r="K815" s="530"/>
      <c r="L815" s="530"/>
      <c r="M815" s="530"/>
      <c r="N815" s="530"/>
      <c r="O815" s="530"/>
      <c r="P815" s="530"/>
      <c r="Q815" s="530"/>
      <c r="R815" s="530"/>
      <c r="S815" s="530"/>
      <c r="T815" s="530">
        <v>49364.857144105001</v>
      </c>
      <c r="U815" s="530" t="s">
        <v>58</v>
      </c>
    </row>
    <row r="816" spans="1:21" ht="13.8" x14ac:dyDescent="0.3">
      <c r="A816" s="530" t="str">
        <f t="shared" si="20"/>
        <v>Conwy.2018.Accommodation - Bed Spaces.All Accommodation Types</v>
      </c>
      <c r="B816" s="530" t="s">
        <v>219</v>
      </c>
      <c r="C816" s="530" t="str">
        <f t="shared" si="21"/>
        <v>2018.Accommodation - Bed Spaces.All Accommodation Types</v>
      </c>
      <c r="D816" s="530" t="s">
        <v>238</v>
      </c>
      <c r="E816" s="530" t="s">
        <v>164</v>
      </c>
      <c r="F816" s="530" t="s">
        <v>163</v>
      </c>
      <c r="G816" s="530" t="s">
        <v>38</v>
      </c>
      <c r="H816" s="530"/>
      <c r="I816" s="530"/>
      <c r="J816" s="530"/>
      <c r="K816" s="530"/>
      <c r="L816" s="530"/>
      <c r="M816" s="530"/>
      <c r="N816" s="530"/>
      <c r="O816" s="530"/>
      <c r="P816" s="530"/>
      <c r="Q816" s="530"/>
      <c r="R816" s="530"/>
      <c r="S816" s="530"/>
      <c r="T816" s="530">
        <v>58657.857144105001</v>
      </c>
      <c r="U816" s="530" t="s">
        <v>58</v>
      </c>
    </row>
    <row r="817" spans="1:21" ht="13.8" x14ac:dyDescent="0.3">
      <c r="A817" s="530" t="str">
        <f t="shared" si="18"/>
        <v>Conwy.2019.Accommodation - Establishments.Serviced Accommodation 1</v>
      </c>
      <c r="B817" s="530" t="s">
        <v>219</v>
      </c>
      <c r="C817" s="530" t="str">
        <f t="shared" si="19"/>
        <v>2019.Accommodation - Establishments.Serviced Accommodation 1</v>
      </c>
      <c r="D817" s="530" t="s">
        <v>239</v>
      </c>
      <c r="E817" s="530" t="s">
        <v>150</v>
      </c>
      <c r="F817" s="530" t="s">
        <v>151</v>
      </c>
      <c r="G817" s="530" t="s">
        <v>221</v>
      </c>
      <c r="H817" s="530"/>
      <c r="I817" s="530"/>
      <c r="J817" s="530"/>
      <c r="K817" s="530"/>
      <c r="L817" s="530"/>
      <c r="M817" s="530"/>
      <c r="N817" s="530"/>
      <c r="O817" s="530"/>
      <c r="P817" s="530"/>
      <c r="Q817" s="530"/>
      <c r="R817" s="530"/>
      <c r="S817" s="530"/>
      <c r="T817" s="530">
        <v>22</v>
      </c>
      <c r="U817" s="530" t="s">
        <v>149</v>
      </c>
    </row>
    <row r="818" spans="1:21" ht="13.8" x14ac:dyDescent="0.3">
      <c r="A818" s="530" t="str">
        <f t="shared" si="18"/>
        <v>Conwy.2019.Accommodation - Establishments.Serviced Accommodation 2</v>
      </c>
      <c r="B818" s="530" t="s">
        <v>219</v>
      </c>
      <c r="C818" s="530" t="str">
        <f t="shared" si="19"/>
        <v>2019.Accommodation - Establishments.Serviced Accommodation 2</v>
      </c>
      <c r="D818" s="530" t="s">
        <v>239</v>
      </c>
      <c r="E818" s="530" t="s">
        <v>150</v>
      </c>
      <c r="F818" s="530" t="s">
        <v>152</v>
      </c>
      <c r="G818" s="530" t="s">
        <v>222</v>
      </c>
      <c r="H818" s="530"/>
      <c r="I818" s="530"/>
      <c r="J818" s="530"/>
      <c r="K818" s="530"/>
      <c r="L818" s="530"/>
      <c r="M818" s="530"/>
      <c r="N818" s="530"/>
      <c r="O818" s="530"/>
      <c r="P818" s="530"/>
      <c r="Q818" s="530"/>
      <c r="R818" s="530"/>
      <c r="S818" s="530"/>
      <c r="T818" s="530">
        <v>68</v>
      </c>
      <c r="U818" s="530" t="s">
        <v>149</v>
      </c>
    </row>
    <row r="819" spans="1:21" ht="13.8" x14ac:dyDescent="0.3">
      <c r="A819" s="530" t="str">
        <f t="shared" si="18"/>
        <v>Conwy.2019.Accommodation - Establishments.Serviced Accommodation 3</v>
      </c>
      <c r="B819" s="530" t="s">
        <v>219</v>
      </c>
      <c r="C819" s="530" t="str">
        <f t="shared" si="19"/>
        <v>2019.Accommodation - Establishments.Serviced Accommodation 3</v>
      </c>
      <c r="D819" s="530" t="s">
        <v>239</v>
      </c>
      <c r="E819" s="530" t="s">
        <v>150</v>
      </c>
      <c r="F819" s="530" t="s">
        <v>153</v>
      </c>
      <c r="G819" s="530" t="s">
        <v>223</v>
      </c>
      <c r="H819" s="530"/>
      <c r="I819" s="530"/>
      <c r="J819" s="530"/>
      <c r="K819" s="530"/>
      <c r="L819" s="530"/>
      <c r="M819" s="530"/>
      <c r="N819" s="530"/>
      <c r="O819" s="530"/>
      <c r="P819" s="530"/>
      <c r="Q819" s="530"/>
      <c r="R819" s="530"/>
      <c r="S819" s="530"/>
      <c r="T819" s="530">
        <v>227</v>
      </c>
      <c r="U819" s="530" t="s">
        <v>149</v>
      </c>
    </row>
    <row r="820" spans="1:21" ht="13.8" x14ac:dyDescent="0.3">
      <c r="A820" s="530" t="str">
        <f t="shared" si="18"/>
        <v>Conwy.2019.Accommodation - Establishments.Serviced Accommodation 4</v>
      </c>
      <c r="B820" s="530" t="s">
        <v>219</v>
      </c>
      <c r="C820" s="530" t="str">
        <f t="shared" si="19"/>
        <v>2019.Accommodation - Establishments.Serviced Accommodation 4</v>
      </c>
      <c r="D820" s="530" t="s">
        <v>239</v>
      </c>
      <c r="E820" s="530" t="s">
        <v>150</v>
      </c>
      <c r="F820" s="530" t="s">
        <v>154</v>
      </c>
      <c r="G820" s="530" t="s">
        <v>224</v>
      </c>
      <c r="H820" s="530"/>
      <c r="I820" s="530"/>
      <c r="J820" s="530"/>
      <c r="K820" s="530"/>
      <c r="L820" s="530"/>
      <c r="M820" s="530"/>
      <c r="N820" s="530"/>
      <c r="O820" s="530"/>
      <c r="P820" s="530"/>
      <c r="Q820" s="530"/>
      <c r="R820" s="530"/>
      <c r="S820" s="530"/>
      <c r="T820" s="530" t="s">
        <v>224</v>
      </c>
      <c r="U820" s="530" t="s">
        <v>149</v>
      </c>
    </row>
    <row r="821" spans="1:21" ht="13.8" x14ac:dyDescent="0.3">
      <c r="A821" s="530" t="str">
        <f t="shared" si="18"/>
        <v>Conwy.2019.Accommodation - Establishments.Serviced Accommodation 5</v>
      </c>
      <c r="B821" s="530" t="s">
        <v>219</v>
      </c>
      <c r="C821" s="530" t="str">
        <f t="shared" si="19"/>
        <v>2019.Accommodation - Establishments.Serviced Accommodation 5</v>
      </c>
      <c r="D821" s="530" t="s">
        <v>239</v>
      </c>
      <c r="E821" s="530" t="s">
        <v>150</v>
      </c>
      <c r="F821" s="530" t="s">
        <v>155</v>
      </c>
      <c r="G821" s="530" t="s">
        <v>224</v>
      </c>
      <c r="H821" s="530"/>
      <c r="I821" s="530"/>
      <c r="J821" s="530"/>
      <c r="K821" s="530"/>
      <c r="L821" s="530"/>
      <c r="M821" s="530"/>
      <c r="N821" s="530"/>
      <c r="O821" s="530"/>
      <c r="P821" s="530"/>
      <c r="Q821" s="530"/>
      <c r="R821" s="530"/>
      <c r="S821" s="530"/>
      <c r="T821" s="530" t="s">
        <v>224</v>
      </c>
      <c r="U821" s="530" t="s">
        <v>149</v>
      </c>
    </row>
    <row r="822" spans="1:21" ht="15" customHeight="1" x14ac:dyDescent="0.3">
      <c r="A822" s="530" t="str">
        <f t="shared" si="18"/>
        <v>Conwy.2019.Accommodation - Establishments.Serviced Accommodation Total</v>
      </c>
      <c r="B822" s="530" t="s">
        <v>219</v>
      </c>
      <c r="C822" s="530" t="str">
        <f t="shared" si="19"/>
        <v>2019.Accommodation - Establishments.Serviced Accommodation Total</v>
      </c>
      <c r="D822" s="530" t="s">
        <v>239</v>
      </c>
      <c r="E822" s="530" t="s">
        <v>150</v>
      </c>
      <c r="F822" s="530" t="s">
        <v>161</v>
      </c>
      <c r="G822" s="530" t="s">
        <v>225</v>
      </c>
      <c r="H822" s="530"/>
      <c r="I822" s="530"/>
      <c r="J822" s="530"/>
      <c r="K822" s="530"/>
      <c r="L822" s="530"/>
      <c r="M822" s="530"/>
      <c r="N822" s="530"/>
      <c r="O822" s="530"/>
      <c r="P822" s="530"/>
      <c r="Q822" s="530"/>
      <c r="R822" s="530"/>
      <c r="S822" s="530"/>
      <c r="T822" s="530">
        <v>317</v>
      </c>
      <c r="U822" s="530" t="s">
        <v>149</v>
      </c>
    </row>
    <row r="823" spans="1:21" ht="15" customHeight="1" x14ac:dyDescent="0.3">
      <c r="A823" s="530" t="str">
        <f t="shared" si="18"/>
        <v>Conwy.2019.Accommodation - Establishments.Non-Serviced Accommodation 1</v>
      </c>
      <c r="B823" s="530" t="s">
        <v>219</v>
      </c>
      <c r="C823" s="530" t="str">
        <f t="shared" si="19"/>
        <v>2019.Accommodation - Establishments.Non-Serviced Accommodation 1</v>
      </c>
      <c r="D823" s="530" t="s">
        <v>239</v>
      </c>
      <c r="E823" s="530" t="s">
        <v>150</v>
      </c>
      <c r="F823" s="530" t="s">
        <v>156</v>
      </c>
      <c r="G823" s="530" t="s">
        <v>226</v>
      </c>
      <c r="H823" s="530"/>
      <c r="I823" s="530"/>
      <c r="J823" s="530"/>
      <c r="K823" s="530"/>
      <c r="L823" s="530"/>
      <c r="M823" s="530"/>
      <c r="N823" s="530"/>
      <c r="O823" s="530"/>
      <c r="P823" s="530"/>
      <c r="Q823" s="530"/>
      <c r="R823" s="530"/>
      <c r="S823" s="530"/>
      <c r="T823" s="530">
        <v>770</v>
      </c>
      <c r="U823" s="530" t="s">
        <v>149</v>
      </c>
    </row>
    <row r="824" spans="1:21" ht="15" customHeight="1" x14ac:dyDescent="0.3">
      <c r="A824" s="530" t="str">
        <f t="shared" si="18"/>
        <v>Conwy.2019.Accommodation - Establishments.Non-Serviced Accommodation 2</v>
      </c>
      <c r="B824" s="530" t="s">
        <v>219</v>
      </c>
      <c r="C824" s="530" t="str">
        <f t="shared" si="19"/>
        <v>2019.Accommodation - Establishments.Non-Serviced Accommodation 2</v>
      </c>
      <c r="D824" s="530" t="s">
        <v>239</v>
      </c>
      <c r="E824" s="530" t="s">
        <v>150</v>
      </c>
      <c r="F824" s="530" t="s">
        <v>157</v>
      </c>
      <c r="G824" s="530" t="s">
        <v>227</v>
      </c>
      <c r="H824" s="530"/>
      <c r="I824" s="530"/>
      <c r="J824" s="530"/>
      <c r="K824" s="530"/>
      <c r="L824" s="530"/>
      <c r="M824" s="530"/>
      <c r="N824" s="530"/>
      <c r="O824" s="530"/>
      <c r="P824" s="530"/>
      <c r="Q824" s="530"/>
      <c r="R824" s="530"/>
      <c r="S824" s="530"/>
      <c r="T824" s="530">
        <v>88</v>
      </c>
      <c r="U824" s="530" t="s">
        <v>149</v>
      </c>
    </row>
    <row r="825" spans="1:21" ht="15" customHeight="1" x14ac:dyDescent="0.3">
      <c r="A825" s="530" t="str">
        <f t="shared" si="18"/>
        <v>Conwy.2019.Accommodation - Establishments.Non-Serviced Accommodation 3</v>
      </c>
      <c r="B825" s="530" t="s">
        <v>219</v>
      </c>
      <c r="C825" s="530" t="str">
        <f t="shared" si="19"/>
        <v>2019.Accommodation - Establishments.Non-Serviced Accommodation 3</v>
      </c>
      <c r="D825" s="530" t="s">
        <v>239</v>
      </c>
      <c r="E825" s="530" t="s">
        <v>150</v>
      </c>
      <c r="F825" s="530" t="s">
        <v>158</v>
      </c>
      <c r="G825" s="530" t="s">
        <v>228</v>
      </c>
      <c r="H825" s="530"/>
      <c r="I825" s="530"/>
      <c r="J825" s="530"/>
      <c r="K825" s="530"/>
      <c r="L825" s="530"/>
      <c r="M825" s="530"/>
      <c r="N825" s="530"/>
      <c r="O825" s="530"/>
      <c r="P825" s="530"/>
      <c r="Q825" s="530"/>
      <c r="R825" s="530"/>
      <c r="S825" s="530"/>
      <c r="T825" s="530">
        <v>58</v>
      </c>
      <c r="U825" s="530" t="s">
        <v>149</v>
      </c>
    </row>
    <row r="826" spans="1:21" ht="15" customHeight="1" x14ac:dyDescent="0.3">
      <c r="A826" s="530" t="str">
        <f t="shared" si="18"/>
        <v>Conwy.2019.Accommodation - Establishments.Non-Serviced Accommodation 4</v>
      </c>
      <c r="B826" s="530" t="s">
        <v>219</v>
      </c>
      <c r="C826" s="530" t="str">
        <f t="shared" si="19"/>
        <v>2019.Accommodation - Establishments.Non-Serviced Accommodation 4</v>
      </c>
      <c r="D826" s="530" t="s">
        <v>239</v>
      </c>
      <c r="E826" s="530" t="s">
        <v>150</v>
      </c>
      <c r="F826" s="530" t="s">
        <v>159</v>
      </c>
      <c r="G826" s="530" t="s">
        <v>229</v>
      </c>
      <c r="H826" s="530"/>
      <c r="I826" s="530"/>
      <c r="J826" s="530"/>
      <c r="K826" s="530"/>
      <c r="L826" s="530"/>
      <c r="M826" s="530"/>
      <c r="N826" s="530"/>
      <c r="O826" s="530"/>
      <c r="P826" s="530"/>
      <c r="Q826" s="530"/>
      <c r="R826" s="530"/>
      <c r="S826" s="530"/>
      <c r="T826" s="530">
        <v>0</v>
      </c>
      <c r="U826" s="530" t="s">
        <v>149</v>
      </c>
    </row>
    <row r="827" spans="1:21" ht="15" customHeight="1" x14ac:dyDescent="0.3">
      <c r="A827" s="530" t="str">
        <f t="shared" si="18"/>
        <v>Conwy.2019.Accommodation - Establishments.Non-Serviced Accommodation 5</v>
      </c>
      <c r="B827" s="530" t="s">
        <v>219</v>
      </c>
      <c r="C827" s="530" t="str">
        <f t="shared" si="19"/>
        <v>2019.Accommodation - Establishments.Non-Serviced Accommodation 5</v>
      </c>
      <c r="D827" s="530" t="s">
        <v>239</v>
      </c>
      <c r="E827" s="530" t="s">
        <v>150</v>
      </c>
      <c r="F827" s="530" t="s">
        <v>160</v>
      </c>
      <c r="G827" s="530" t="s">
        <v>237</v>
      </c>
      <c r="H827" s="530"/>
      <c r="I827" s="530"/>
      <c r="J827" s="530"/>
      <c r="K827" s="530"/>
      <c r="L827" s="530"/>
      <c r="M827" s="530"/>
      <c r="N827" s="530"/>
      <c r="O827" s="530"/>
      <c r="P827" s="530"/>
      <c r="Q827" s="530"/>
      <c r="R827" s="530"/>
      <c r="S827" s="530"/>
      <c r="T827" s="530">
        <v>0</v>
      </c>
      <c r="U827" s="530" t="s">
        <v>149</v>
      </c>
    </row>
    <row r="828" spans="1:21" ht="15" customHeight="1" x14ac:dyDescent="0.3">
      <c r="A828" s="530" t="str">
        <f t="shared" si="18"/>
        <v>Conwy.2019.Accommodation - Establishments.Non-Serviced Accommodation Total</v>
      </c>
      <c r="B828" s="530" t="s">
        <v>219</v>
      </c>
      <c r="C828" s="530" t="str">
        <f t="shared" si="19"/>
        <v>2019.Accommodation - Establishments.Non-Serviced Accommodation Total</v>
      </c>
      <c r="D828" s="530" t="s">
        <v>239</v>
      </c>
      <c r="E828" s="530" t="s">
        <v>150</v>
      </c>
      <c r="F828" s="530" t="s">
        <v>162</v>
      </c>
      <c r="G828" s="530" t="s">
        <v>230</v>
      </c>
      <c r="H828" s="530"/>
      <c r="I828" s="530"/>
      <c r="J828" s="530"/>
      <c r="K828" s="530"/>
      <c r="L828" s="530"/>
      <c r="M828" s="530"/>
      <c r="N828" s="530"/>
      <c r="O828" s="530"/>
      <c r="P828" s="530"/>
      <c r="Q828" s="530"/>
      <c r="R828" s="530"/>
      <c r="S828" s="530"/>
      <c r="T828" s="530">
        <v>916</v>
      </c>
      <c r="U828" s="530" t="s">
        <v>149</v>
      </c>
    </row>
    <row r="829" spans="1:21" ht="15" customHeight="1" x14ac:dyDescent="0.3">
      <c r="A829" s="530" t="str">
        <f t="shared" si="18"/>
        <v>Conwy.2019.Accommodation - Establishments.All Accommodation Types</v>
      </c>
      <c r="B829" s="530" t="s">
        <v>219</v>
      </c>
      <c r="C829" s="530" t="str">
        <f t="shared" si="19"/>
        <v>2019.Accommodation - Establishments.All Accommodation Types</v>
      </c>
      <c r="D829" s="530" t="s">
        <v>239</v>
      </c>
      <c r="E829" s="530" t="s">
        <v>150</v>
      </c>
      <c r="F829" s="530" t="s">
        <v>163</v>
      </c>
      <c r="G829" s="530" t="s">
        <v>38</v>
      </c>
      <c r="H829" s="530"/>
      <c r="I829" s="530"/>
      <c r="J829" s="530"/>
      <c r="K829" s="530"/>
      <c r="L829" s="530"/>
      <c r="M829" s="530"/>
      <c r="N829" s="530"/>
      <c r="O829" s="530"/>
      <c r="P829" s="530"/>
      <c r="Q829" s="530"/>
      <c r="R829" s="530"/>
      <c r="S829" s="530"/>
      <c r="T829" s="530">
        <v>1233</v>
      </c>
      <c r="U829" s="530" t="s">
        <v>149</v>
      </c>
    </row>
    <row r="830" spans="1:21" ht="13.8" x14ac:dyDescent="0.3">
      <c r="A830" s="530" t="str">
        <f t="shared" si="18"/>
        <v>Conwy.2019.Accommodation - Bed Spaces.Serviced Accommodation 1</v>
      </c>
      <c r="B830" s="530" t="s">
        <v>219</v>
      </c>
      <c r="C830" s="530" t="str">
        <f t="shared" si="19"/>
        <v>2019.Accommodation - Bed Spaces.Serviced Accommodation 1</v>
      </c>
      <c r="D830" s="530" t="s">
        <v>239</v>
      </c>
      <c r="E830" s="530" t="s">
        <v>164</v>
      </c>
      <c r="F830" s="530" t="s">
        <v>151</v>
      </c>
      <c r="G830" s="530" t="s">
        <v>221</v>
      </c>
      <c r="H830" s="530"/>
      <c r="I830" s="530"/>
      <c r="J830" s="530"/>
      <c r="K830" s="530"/>
      <c r="L830" s="530"/>
      <c r="M830" s="530"/>
      <c r="N830" s="530"/>
      <c r="O830" s="530"/>
      <c r="P830" s="530"/>
      <c r="Q830" s="530"/>
      <c r="R830" s="530"/>
      <c r="S830" s="530"/>
      <c r="T830" s="530">
        <v>3535</v>
      </c>
      <c r="U830" s="530" t="s">
        <v>58</v>
      </c>
    </row>
    <row r="831" spans="1:21" ht="13.8" x14ac:dyDescent="0.3">
      <c r="A831" s="530" t="str">
        <f t="shared" si="18"/>
        <v>Conwy.2019.Accommodation - Bed Spaces.Serviced Accommodation 2</v>
      </c>
      <c r="B831" s="530" t="s">
        <v>219</v>
      </c>
      <c r="C831" s="530" t="str">
        <f t="shared" si="19"/>
        <v>2019.Accommodation - Bed Spaces.Serviced Accommodation 2</v>
      </c>
      <c r="D831" s="530" t="s">
        <v>239</v>
      </c>
      <c r="E831" s="530" t="s">
        <v>164</v>
      </c>
      <c r="F831" s="530" t="s">
        <v>152</v>
      </c>
      <c r="G831" s="530" t="s">
        <v>222</v>
      </c>
      <c r="H831" s="530"/>
      <c r="I831" s="530"/>
      <c r="J831" s="530"/>
      <c r="K831" s="530"/>
      <c r="L831" s="530"/>
      <c r="M831" s="530"/>
      <c r="N831" s="530"/>
      <c r="O831" s="530"/>
      <c r="P831" s="530"/>
      <c r="Q831" s="530"/>
      <c r="R831" s="530"/>
      <c r="S831" s="530"/>
      <c r="T831" s="530">
        <v>3022</v>
      </c>
      <c r="U831" s="530" t="s">
        <v>58</v>
      </c>
    </row>
    <row r="832" spans="1:21" ht="13.8" x14ac:dyDescent="0.3">
      <c r="A832" s="530" t="str">
        <f t="shared" si="18"/>
        <v>Conwy.2019.Accommodation - Bed Spaces.Serviced Accommodation 3</v>
      </c>
      <c r="B832" s="530" t="s">
        <v>219</v>
      </c>
      <c r="C832" s="530" t="str">
        <f t="shared" si="19"/>
        <v>2019.Accommodation - Bed Spaces.Serviced Accommodation 3</v>
      </c>
      <c r="D832" s="530" t="s">
        <v>239</v>
      </c>
      <c r="E832" s="530" t="s">
        <v>164</v>
      </c>
      <c r="F832" s="530" t="s">
        <v>153</v>
      </c>
      <c r="G832" s="530" t="s">
        <v>223</v>
      </c>
      <c r="H832" s="530"/>
      <c r="I832" s="530"/>
      <c r="J832" s="530"/>
      <c r="K832" s="530"/>
      <c r="L832" s="530"/>
      <c r="M832" s="530"/>
      <c r="N832" s="530"/>
      <c r="O832" s="530"/>
      <c r="P832" s="530"/>
      <c r="Q832" s="530"/>
      <c r="R832" s="530"/>
      <c r="S832" s="530"/>
      <c r="T832" s="530">
        <v>2736</v>
      </c>
      <c r="U832" s="530" t="s">
        <v>58</v>
      </c>
    </row>
    <row r="833" spans="1:21" ht="13.8" x14ac:dyDescent="0.3">
      <c r="A833" s="530" t="str">
        <f t="shared" si="18"/>
        <v>Conwy.2019.Accommodation - Bed Spaces.Serviced Accommodation 4</v>
      </c>
      <c r="B833" s="530" t="s">
        <v>219</v>
      </c>
      <c r="C833" s="530" t="str">
        <f t="shared" si="19"/>
        <v>2019.Accommodation - Bed Spaces.Serviced Accommodation 4</v>
      </c>
      <c r="D833" s="530" t="s">
        <v>239</v>
      </c>
      <c r="E833" s="530" t="s">
        <v>164</v>
      </c>
      <c r="F833" s="530" t="s">
        <v>154</v>
      </c>
      <c r="G833" s="530" t="s">
        <v>224</v>
      </c>
      <c r="H833" s="530"/>
      <c r="I833" s="530"/>
      <c r="J833" s="530"/>
      <c r="K833" s="530"/>
      <c r="L833" s="530"/>
      <c r="M833" s="530"/>
      <c r="N833" s="530"/>
      <c r="O833" s="530"/>
      <c r="P833" s="530"/>
      <c r="Q833" s="530"/>
      <c r="R833" s="530"/>
      <c r="S833" s="530"/>
      <c r="T833" s="530" t="s">
        <v>224</v>
      </c>
      <c r="U833" s="530" t="s">
        <v>58</v>
      </c>
    </row>
    <row r="834" spans="1:21" ht="13.8" x14ac:dyDescent="0.3">
      <c r="A834" s="530" t="str">
        <f t="shared" si="18"/>
        <v>Conwy.2019.Accommodation - Bed Spaces.Serviced Accommodation 5</v>
      </c>
      <c r="B834" s="530" t="s">
        <v>219</v>
      </c>
      <c r="C834" s="530" t="str">
        <f t="shared" si="19"/>
        <v>2019.Accommodation - Bed Spaces.Serviced Accommodation 5</v>
      </c>
      <c r="D834" s="530" t="s">
        <v>239</v>
      </c>
      <c r="E834" s="530" t="s">
        <v>164</v>
      </c>
      <c r="F834" s="530" t="s">
        <v>155</v>
      </c>
      <c r="G834" s="530" t="s">
        <v>224</v>
      </c>
      <c r="H834" s="530"/>
      <c r="I834" s="530"/>
      <c r="J834" s="530"/>
      <c r="K834" s="530"/>
      <c r="L834" s="530"/>
      <c r="M834" s="530"/>
      <c r="N834" s="530"/>
      <c r="O834" s="530"/>
      <c r="P834" s="530"/>
      <c r="Q834" s="530"/>
      <c r="R834" s="530"/>
      <c r="S834" s="530"/>
      <c r="T834" s="530" t="s">
        <v>224</v>
      </c>
      <c r="U834" s="530" t="s">
        <v>58</v>
      </c>
    </row>
    <row r="835" spans="1:21" ht="13.8" x14ac:dyDescent="0.3">
      <c r="A835" s="530" t="str">
        <f t="shared" si="18"/>
        <v>Conwy.2019.Accommodation - Bed Spaces.Serviced Accommodation Total</v>
      </c>
      <c r="B835" s="530" t="s">
        <v>219</v>
      </c>
      <c r="C835" s="530" t="str">
        <f t="shared" si="19"/>
        <v>2019.Accommodation - Bed Spaces.Serviced Accommodation Total</v>
      </c>
      <c r="D835" s="530" t="s">
        <v>239</v>
      </c>
      <c r="E835" s="530" t="s">
        <v>164</v>
      </c>
      <c r="F835" s="530" t="s">
        <v>161</v>
      </c>
      <c r="G835" s="530" t="s">
        <v>225</v>
      </c>
      <c r="H835" s="530"/>
      <c r="I835" s="530"/>
      <c r="J835" s="530"/>
      <c r="K835" s="530"/>
      <c r="L835" s="530"/>
      <c r="M835" s="530"/>
      <c r="N835" s="530"/>
      <c r="O835" s="530"/>
      <c r="P835" s="530"/>
      <c r="Q835" s="530"/>
      <c r="R835" s="530"/>
      <c r="S835" s="530"/>
      <c r="T835" s="530">
        <v>9293</v>
      </c>
      <c r="U835" s="530" t="s">
        <v>58</v>
      </c>
    </row>
    <row r="836" spans="1:21" ht="13.8" x14ac:dyDescent="0.3">
      <c r="A836" s="530" t="str">
        <f t="shared" si="18"/>
        <v>Conwy.2019.Accommodation - Bed Spaces.Non-Serviced Accommodation 1</v>
      </c>
      <c r="B836" s="530" t="s">
        <v>219</v>
      </c>
      <c r="C836" s="530" t="str">
        <f t="shared" si="19"/>
        <v>2019.Accommodation - Bed Spaces.Non-Serviced Accommodation 1</v>
      </c>
      <c r="D836" s="530" t="s">
        <v>239</v>
      </c>
      <c r="E836" s="530" t="s">
        <v>164</v>
      </c>
      <c r="F836" s="530" t="s">
        <v>156</v>
      </c>
      <c r="G836" s="530" t="s">
        <v>226</v>
      </c>
      <c r="H836" s="530"/>
      <c r="I836" s="530"/>
      <c r="J836" s="530"/>
      <c r="K836" s="530"/>
      <c r="L836" s="530"/>
      <c r="M836" s="530"/>
      <c r="N836" s="530"/>
      <c r="O836" s="530"/>
      <c r="P836" s="530"/>
      <c r="Q836" s="530"/>
      <c r="R836" s="530"/>
      <c r="S836" s="530"/>
      <c r="T836" s="530">
        <v>4827</v>
      </c>
      <c r="U836" s="530" t="s">
        <v>58</v>
      </c>
    </row>
    <row r="837" spans="1:21" ht="13.8" x14ac:dyDescent="0.3">
      <c r="A837" s="530" t="str">
        <f t="shared" si="18"/>
        <v>Conwy.2019.Accommodation - Bed Spaces.Non-Serviced Accommodation 2</v>
      </c>
      <c r="B837" s="530" t="s">
        <v>219</v>
      </c>
      <c r="C837" s="530" t="str">
        <f t="shared" si="19"/>
        <v>2019.Accommodation - Bed Spaces.Non-Serviced Accommodation 2</v>
      </c>
      <c r="D837" s="530" t="s">
        <v>239</v>
      </c>
      <c r="E837" s="530" t="s">
        <v>164</v>
      </c>
      <c r="F837" s="530" t="s">
        <v>157</v>
      </c>
      <c r="G837" s="530" t="s">
        <v>227</v>
      </c>
      <c r="H837" s="530"/>
      <c r="I837" s="530"/>
      <c r="J837" s="530"/>
      <c r="K837" s="530"/>
      <c r="L837" s="530"/>
      <c r="M837" s="530"/>
      <c r="N837" s="530"/>
      <c r="O837" s="530"/>
      <c r="P837" s="530"/>
      <c r="Q837" s="530"/>
      <c r="R837" s="530"/>
      <c r="S837" s="530"/>
      <c r="T837" s="530">
        <v>6895.2570679648015</v>
      </c>
      <c r="U837" s="530" t="s">
        <v>58</v>
      </c>
    </row>
    <row r="838" spans="1:21" ht="13.8" x14ac:dyDescent="0.3">
      <c r="A838" s="530" t="str">
        <f t="shared" si="18"/>
        <v>Conwy.2019.Accommodation - Bed Spaces.Non-Serviced Accommodation 3</v>
      </c>
      <c r="B838" s="530" t="s">
        <v>219</v>
      </c>
      <c r="C838" s="530" t="str">
        <f t="shared" si="19"/>
        <v>2019.Accommodation - Bed Spaces.Non-Serviced Accommodation 3</v>
      </c>
      <c r="D838" s="530" t="s">
        <v>239</v>
      </c>
      <c r="E838" s="530" t="s">
        <v>164</v>
      </c>
      <c r="F838" s="530" t="s">
        <v>158</v>
      </c>
      <c r="G838" s="530" t="s">
        <v>228</v>
      </c>
      <c r="H838" s="530"/>
      <c r="I838" s="530"/>
      <c r="J838" s="530"/>
      <c r="K838" s="530"/>
      <c r="L838" s="530"/>
      <c r="M838" s="530"/>
      <c r="N838" s="530"/>
      <c r="O838" s="530"/>
      <c r="P838" s="530"/>
      <c r="Q838" s="530"/>
      <c r="R838" s="530"/>
      <c r="S838" s="530"/>
      <c r="T838" s="530">
        <v>7113</v>
      </c>
      <c r="U838" s="530" t="s">
        <v>58</v>
      </c>
    </row>
    <row r="839" spans="1:21" ht="13.8" x14ac:dyDescent="0.3">
      <c r="A839" s="530" t="str">
        <f t="shared" si="18"/>
        <v>Conwy.2019.Accommodation - Bed Spaces.Non-Serviced Accommodation 4</v>
      </c>
      <c r="B839" s="530" t="s">
        <v>219</v>
      </c>
      <c r="C839" s="530" t="str">
        <f t="shared" si="19"/>
        <v>2019.Accommodation - Bed Spaces.Non-Serviced Accommodation 4</v>
      </c>
      <c r="D839" s="530" t="s">
        <v>239</v>
      </c>
      <c r="E839" s="530" t="s">
        <v>164</v>
      </c>
      <c r="F839" s="530" t="s">
        <v>159</v>
      </c>
      <c r="G839" s="530" t="s">
        <v>229</v>
      </c>
      <c r="H839" s="530"/>
      <c r="I839" s="530"/>
      <c r="J839" s="530"/>
      <c r="K839" s="530"/>
      <c r="L839" s="530"/>
      <c r="M839" s="530"/>
      <c r="N839" s="530"/>
      <c r="O839" s="530"/>
      <c r="P839" s="530"/>
      <c r="Q839" s="530"/>
      <c r="R839" s="530"/>
      <c r="S839" s="530"/>
      <c r="T839" s="530">
        <v>28317.686950009363</v>
      </c>
      <c r="U839" s="530" t="s">
        <v>58</v>
      </c>
    </row>
    <row r="840" spans="1:21" ht="13.8" x14ac:dyDescent="0.3">
      <c r="A840" s="530" t="str">
        <f t="shared" si="18"/>
        <v>Conwy.2019.Accommodation - Bed Spaces.Non-Serviced Accommodation 5</v>
      </c>
      <c r="B840" s="530" t="s">
        <v>219</v>
      </c>
      <c r="C840" s="530" t="str">
        <f t="shared" si="19"/>
        <v>2019.Accommodation - Bed Spaces.Non-Serviced Accommodation 5</v>
      </c>
      <c r="D840" s="530" t="s">
        <v>239</v>
      </c>
      <c r="E840" s="530" t="s">
        <v>164</v>
      </c>
      <c r="F840" s="530" t="s">
        <v>160</v>
      </c>
      <c r="G840" s="530" t="s">
        <v>237</v>
      </c>
      <c r="H840" s="530"/>
      <c r="I840" s="530"/>
      <c r="J840" s="530"/>
      <c r="K840" s="530"/>
      <c r="L840" s="530"/>
      <c r="M840" s="530"/>
      <c r="N840" s="530"/>
      <c r="O840" s="530"/>
      <c r="P840" s="530"/>
      <c r="Q840" s="530"/>
      <c r="R840" s="530"/>
      <c r="S840" s="530"/>
      <c r="T840" s="530">
        <v>2889.6048301062915</v>
      </c>
      <c r="U840" s="530" t="s">
        <v>58</v>
      </c>
    </row>
    <row r="841" spans="1:21" ht="13.8" x14ac:dyDescent="0.3">
      <c r="A841" s="530" t="str">
        <f t="shared" si="18"/>
        <v>Conwy.2019.Accommodation - Bed Spaces.Non-Serviced Accommodation Total</v>
      </c>
      <c r="B841" s="530" t="s">
        <v>219</v>
      </c>
      <c r="C841" s="530" t="str">
        <f t="shared" si="19"/>
        <v>2019.Accommodation - Bed Spaces.Non-Serviced Accommodation Total</v>
      </c>
      <c r="D841" s="530" t="s">
        <v>239</v>
      </c>
      <c r="E841" s="530" t="s">
        <v>164</v>
      </c>
      <c r="F841" s="530" t="s">
        <v>162</v>
      </c>
      <c r="G841" s="530" t="s">
        <v>230</v>
      </c>
      <c r="H841" s="530"/>
      <c r="I841" s="530"/>
      <c r="J841" s="530"/>
      <c r="K841" s="530"/>
      <c r="L841" s="530"/>
      <c r="M841" s="530"/>
      <c r="N841" s="530"/>
      <c r="O841" s="530"/>
      <c r="P841" s="530"/>
      <c r="Q841" s="530"/>
      <c r="R841" s="530"/>
      <c r="S841" s="530"/>
      <c r="T841" s="530">
        <v>50042.548848080456</v>
      </c>
      <c r="U841" s="530" t="s">
        <v>58</v>
      </c>
    </row>
    <row r="842" spans="1:21" ht="13.8" x14ac:dyDescent="0.3">
      <c r="A842" s="530" t="str">
        <f t="shared" si="18"/>
        <v>Conwy.2019.Accommodation - Bed Spaces.All Accommodation Types</v>
      </c>
      <c r="B842" s="530" t="s">
        <v>219</v>
      </c>
      <c r="C842" s="530" t="str">
        <f t="shared" si="19"/>
        <v>2019.Accommodation - Bed Spaces.All Accommodation Types</v>
      </c>
      <c r="D842" s="530" t="s">
        <v>239</v>
      </c>
      <c r="E842" s="530" t="s">
        <v>164</v>
      </c>
      <c r="F842" s="530" t="s">
        <v>163</v>
      </c>
      <c r="G842" s="530" t="s">
        <v>38</v>
      </c>
      <c r="H842" s="530"/>
      <c r="I842" s="530"/>
      <c r="J842" s="530"/>
      <c r="K842" s="530"/>
      <c r="L842" s="530"/>
      <c r="M842" s="530"/>
      <c r="N842" s="530"/>
      <c r="O842" s="530"/>
      <c r="P842" s="530"/>
      <c r="Q842" s="530"/>
      <c r="R842" s="530"/>
      <c r="S842" s="530"/>
      <c r="T842" s="530">
        <v>59335.548848080456</v>
      </c>
      <c r="U842" s="530" t="s">
        <v>58</v>
      </c>
    </row>
    <row r="843" spans="1:21" ht="13.8" x14ac:dyDescent="0.3">
      <c r="A843" s="530" t="str">
        <f t="shared" ref="A843:A868" si="22">B843&amp;"."&amp;D843&amp;"."&amp;E843&amp;"."&amp;F843</f>
        <v>Conwy.2020.Accommodation - Establishments.Serviced Accommodation 1</v>
      </c>
      <c r="B843" s="530" t="s">
        <v>219</v>
      </c>
      <c r="C843" s="530" t="str">
        <f t="shared" ref="C843:C868" si="23">D843&amp;"."&amp;E843&amp;"."&amp;F843</f>
        <v>2020.Accommodation - Establishments.Serviced Accommodation 1</v>
      </c>
      <c r="D843" s="530" t="s">
        <v>240</v>
      </c>
      <c r="E843" s="530" t="s">
        <v>150</v>
      </c>
      <c r="F843" s="530" t="s">
        <v>151</v>
      </c>
      <c r="G843" s="530" t="s">
        <v>221</v>
      </c>
      <c r="H843" s="530"/>
      <c r="I843" s="530"/>
      <c r="J843" s="530"/>
      <c r="K843" s="530"/>
      <c r="L843" s="530"/>
      <c r="M843" s="530"/>
      <c r="N843" s="530"/>
      <c r="O843" s="530"/>
      <c r="P843" s="530"/>
      <c r="Q843" s="530"/>
      <c r="R843" s="530"/>
      <c r="S843" s="530"/>
      <c r="T843" s="530">
        <v>20</v>
      </c>
      <c r="U843" s="530" t="s">
        <v>149</v>
      </c>
    </row>
    <row r="844" spans="1:21" ht="13.8" x14ac:dyDescent="0.3">
      <c r="A844" s="530" t="str">
        <f t="shared" si="22"/>
        <v>Conwy.2020.Accommodation - Establishments.Serviced Accommodation 2</v>
      </c>
      <c r="B844" s="530" t="s">
        <v>219</v>
      </c>
      <c r="C844" s="530" t="str">
        <f t="shared" si="23"/>
        <v>2020.Accommodation - Establishments.Serviced Accommodation 2</v>
      </c>
      <c r="D844" s="530" t="s">
        <v>240</v>
      </c>
      <c r="E844" s="530" t="s">
        <v>150</v>
      </c>
      <c r="F844" s="530" t="s">
        <v>152</v>
      </c>
      <c r="G844" s="530" t="s">
        <v>222</v>
      </c>
      <c r="H844" s="530"/>
      <c r="I844" s="530"/>
      <c r="J844" s="530"/>
      <c r="K844" s="530"/>
      <c r="L844" s="530"/>
      <c r="M844" s="530"/>
      <c r="N844" s="530"/>
      <c r="O844" s="530"/>
      <c r="P844" s="530"/>
      <c r="Q844" s="530"/>
      <c r="R844" s="530"/>
      <c r="S844" s="530"/>
      <c r="T844" s="530">
        <v>62</v>
      </c>
      <c r="U844" s="530" t="s">
        <v>149</v>
      </c>
    </row>
    <row r="845" spans="1:21" ht="13.8" x14ac:dyDescent="0.3">
      <c r="A845" s="530" t="str">
        <f t="shared" si="22"/>
        <v>Conwy.2020.Accommodation - Establishments.Serviced Accommodation 3</v>
      </c>
      <c r="B845" s="530" t="s">
        <v>219</v>
      </c>
      <c r="C845" s="530" t="str">
        <f t="shared" si="23"/>
        <v>2020.Accommodation - Establishments.Serviced Accommodation 3</v>
      </c>
      <c r="D845" s="530" t="s">
        <v>240</v>
      </c>
      <c r="E845" s="530" t="s">
        <v>150</v>
      </c>
      <c r="F845" s="530" t="s">
        <v>153</v>
      </c>
      <c r="G845" s="530" t="s">
        <v>223</v>
      </c>
      <c r="H845" s="530"/>
      <c r="I845" s="530"/>
      <c r="J845" s="530"/>
      <c r="K845" s="530"/>
      <c r="L845" s="530"/>
      <c r="M845" s="530"/>
      <c r="N845" s="530"/>
      <c r="O845" s="530"/>
      <c r="P845" s="530"/>
      <c r="Q845" s="530"/>
      <c r="R845" s="530"/>
      <c r="S845" s="530"/>
      <c r="T845" s="530">
        <v>204.3</v>
      </c>
      <c r="U845" s="530" t="s">
        <v>149</v>
      </c>
    </row>
    <row r="846" spans="1:21" ht="13.8" x14ac:dyDescent="0.3">
      <c r="A846" s="530" t="str">
        <f t="shared" si="22"/>
        <v>Conwy.2020.Accommodation - Establishments.Serviced Accommodation 4</v>
      </c>
      <c r="B846" s="530" t="s">
        <v>219</v>
      </c>
      <c r="C846" s="530" t="str">
        <f t="shared" si="23"/>
        <v>2020.Accommodation - Establishments.Serviced Accommodation 4</v>
      </c>
      <c r="D846" s="530" t="s">
        <v>240</v>
      </c>
      <c r="E846" s="530" t="s">
        <v>150</v>
      </c>
      <c r="F846" s="530" t="s">
        <v>154</v>
      </c>
      <c r="G846" s="530" t="s">
        <v>224</v>
      </c>
      <c r="H846" s="530"/>
      <c r="I846" s="530"/>
      <c r="J846" s="530"/>
      <c r="K846" s="530"/>
      <c r="L846" s="530"/>
      <c r="M846" s="530"/>
      <c r="N846" s="530"/>
      <c r="O846" s="530"/>
      <c r="P846" s="530"/>
      <c r="Q846" s="530"/>
      <c r="R846" s="530"/>
      <c r="S846" s="530"/>
      <c r="T846" s="530" t="s">
        <v>224</v>
      </c>
      <c r="U846" s="530" t="s">
        <v>149</v>
      </c>
    </row>
    <row r="847" spans="1:21" ht="13.8" x14ac:dyDescent="0.3">
      <c r="A847" s="530" t="str">
        <f t="shared" si="22"/>
        <v>Conwy.2020.Accommodation - Establishments.Serviced Accommodation 5</v>
      </c>
      <c r="B847" s="530" t="s">
        <v>219</v>
      </c>
      <c r="C847" s="530" t="str">
        <f t="shared" si="23"/>
        <v>2020.Accommodation - Establishments.Serviced Accommodation 5</v>
      </c>
      <c r="D847" s="530" t="s">
        <v>240</v>
      </c>
      <c r="E847" s="530" t="s">
        <v>150</v>
      </c>
      <c r="F847" s="530" t="s">
        <v>155</v>
      </c>
      <c r="G847" s="530" t="s">
        <v>224</v>
      </c>
      <c r="H847" s="530"/>
      <c r="I847" s="530"/>
      <c r="J847" s="530"/>
      <c r="K847" s="530"/>
      <c r="L847" s="530"/>
      <c r="M847" s="530"/>
      <c r="N847" s="530"/>
      <c r="O847" s="530"/>
      <c r="P847" s="530"/>
      <c r="Q847" s="530"/>
      <c r="R847" s="530"/>
      <c r="S847" s="530"/>
      <c r="T847" s="530" t="s">
        <v>224</v>
      </c>
      <c r="U847" s="530" t="s">
        <v>149</v>
      </c>
    </row>
    <row r="848" spans="1:21" ht="15" customHeight="1" x14ac:dyDescent="0.3">
      <c r="A848" s="530" t="str">
        <f t="shared" si="22"/>
        <v>Conwy.2020.Accommodation - Establishments.Serviced Accommodation Total</v>
      </c>
      <c r="B848" s="530" t="s">
        <v>219</v>
      </c>
      <c r="C848" s="530" t="str">
        <f t="shared" si="23"/>
        <v>2020.Accommodation - Establishments.Serviced Accommodation Total</v>
      </c>
      <c r="D848" s="530" t="s">
        <v>240</v>
      </c>
      <c r="E848" s="530" t="s">
        <v>150</v>
      </c>
      <c r="F848" s="530" t="s">
        <v>161</v>
      </c>
      <c r="G848" s="530" t="s">
        <v>225</v>
      </c>
      <c r="H848" s="530"/>
      <c r="I848" s="530"/>
      <c r="J848" s="530"/>
      <c r="K848" s="530"/>
      <c r="L848" s="530"/>
      <c r="M848" s="530"/>
      <c r="N848" s="530"/>
      <c r="O848" s="530"/>
      <c r="P848" s="530"/>
      <c r="Q848" s="530"/>
      <c r="R848" s="530"/>
      <c r="S848" s="530"/>
      <c r="T848" s="530">
        <v>286.3</v>
      </c>
      <c r="U848" s="530" t="s">
        <v>149</v>
      </c>
    </row>
    <row r="849" spans="1:21" ht="15" customHeight="1" x14ac:dyDescent="0.3">
      <c r="A849" s="530" t="str">
        <f t="shared" si="22"/>
        <v>Conwy.2020.Accommodation - Establishments.Non-Serviced Accommodation 1</v>
      </c>
      <c r="B849" s="530" t="s">
        <v>219</v>
      </c>
      <c r="C849" s="530" t="str">
        <f t="shared" si="23"/>
        <v>2020.Accommodation - Establishments.Non-Serviced Accommodation 1</v>
      </c>
      <c r="D849" s="530" t="s">
        <v>240</v>
      </c>
      <c r="E849" s="530" t="s">
        <v>150</v>
      </c>
      <c r="F849" s="530" t="s">
        <v>156</v>
      </c>
      <c r="G849" s="530" t="s">
        <v>226</v>
      </c>
      <c r="H849" s="530"/>
      <c r="I849" s="530"/>
      <c r="J849" s="530"/>
      <c r="K849" s="530"/>
      <c r="L849" s="530"/>
      <c r="M849" s="530"/>
      <c r="N849" s="530"/>
      <c r="O849" s="530"/>
      <c r="P849" s="530"/>
      <c r="Q849" s="530"/>
      <c r="R849" s="530"/>
      <c r="S849" s="530"/>
      <c r="T849" s="530">
        <v>761</v>
      </c>
      <c r="U849" s="530" t="s">
        <v>149</v>
      </c>
    </row>
    <row r="850" spans="1:21" ht="15" customHeight="1" x14ac:dyDescent="0.3">
      <c r="A850" s="530" t="str">
        <f t="shared" si="22"/>
        <v>Conwy.2020.Accommodation - Establishments.Non-Serviced Accommodation 2</v>
      </c>
      <c r="B850" s="530" t="s">
        <v>219</v>
      </c>
      <c r="C850" s="530" t="str">
        <f t="shared" si="23"/>
        <v>2020.Accommodation - Establishments.Non-Serviced Accommodation 2</v>
      </c>
      <c r="D850" s="530" t="s">
        <v>240</v>
      </c>
      <c r="E850" s="530" t="s">
        <v>150</v>
      </c>
      <c r="F850" s="530" t="s">
        <v>157</v>
      </c>
      <c r="G850" s="530" t="s">
        <v>227</v>
      </c>
      <c r="H850" s="530"/>
      <c r="I850" s="530"/>
      <c r="J850" s="530"/>
      <c r="K850" s="530"/>
      <c r="L850" s="530"/>
      <c r="M850" s="530"/>
      <c r="N850" s="530"/>
      <c r="O850" s="530"/>
      <c r="P850" s="530"/>
      <c r="Q850" s="530"/>
      <c r="R850" s="530"/>
      <c r="S850" s="530"/>
      <c r="T850" s="530">
        <v>87.12</v>
      </c>
      <c r="U850" s="530" t="s">
        <v>149</v>
      </c>
    </row>
    <row r="851" spans="1:21" ht="15" customHeight="1" x14ac:dyDescent="0.3">
      <c r="A851" s="530" t="str">
        <f t="shared" si="22"/>
        <v>Conwy.2020.Accommodation - Establishments.Non-Serviced Accommodation 3</v>
      </c>
      <c r="B851" s="530" t="s">
        <v>219</v>
      </c>
      <c r="C851" s="530" t="str">
        <f t="shared" si="23"/>
        <v>2020.Accommodation - Establishments.Non-Serviced Accommodation 3</v>
      </c>
      <c r="D851" s="530" t="s">
        <v>240</v>
      </c>
      <c r="E851" s="530" t="s">
        <v>150</v>
      </c>
      <c r="F851" s="530" t="s">
        <v>158</v>
      </c>
      <c r="G851" s="530" t="s">
        <v>228</v>
      </c>
      <c r="H851" s="530"/>
      <c r="I851" s="530"/>
      <c r="J851" s="530"/>
      <c r="K851" s="530"/>
      <c r="L851" s="530"/>
      <c r="M851" s="530"/>
      <c r="N851" s="530"/>
      <c r="O851" s="530"/>
      <c r="P851" s="530"/>
      <c r="Q851" s="530"/>
      <c r="R851" s="530"/>
      <c r="S851" s="530"/>
      <c r="T851" s="530">
        <v>57.42</v>
      </c>
      <c r="U851" s="530" t="s">
        <v>149</v>
      </c>
    </row>
    <row r="852" spans="1:21" ht="15" customHeight="1" x14ac:dyDescent="0.3">
      <c r="A852" s="530" t="str">
        <f t="shared" si="22"/>
        <v>Conwy.2020.Accommodation - Establishments.Non-Serviced Accommodation 4</v>
      </c>
      <c r="B852" s="530" t="s">
        <v>219</v>
      </c>
      <c r="C852" s="530" t="str">
        <f t="shared" si="23"/>
        <v>2020.Accommodation - Establishments.Non-Serviced Accommodation 4</v>
      </c>
      <c r="D852" s="530" t="s">
        <v>240</v>
      </c>
      <c r="E852" s="530" t="s">
        <v>150</v>
      </c>
      <c r="F852" s="530" t="s">
        <v>159</v>
      </c>
      <c r="G852" s="530" t="s">
        <v>229</v>
      </c>
      <c r="H852" s="530"/>
      <c r="I852" s="530"/>
      <c r="J852" s="530"/>
      <c r="K852" s="530"/>
      <c r="L852" s="530"/>
      <c r="M852" s="530"/>
      <c r="N852" s="530"/>
      <c r="O852" s="530"/>
      <c r="P852" s="530"/>
      <c r="Q852" s="530"/>
      <c r="R852" s="530"/>
      <c r="S852" s="530"/>
      <c r="T852" s="530">
        <v>0</v>
      </c>
      <c r="U852" s="530" t="s">
        <v>149</v>
      </c>
    </row>
    <row r="853" spans="1:21" ht="15" customHeight="1" x14ac:dyDescent="0.3">
      <c r="A853" s="530" t="str">
        <f t="shared" si="22"/>
        <v>Conwy.2020.Accommodation - Establishments.Non-Serviced Accommodation 5</v>
      </c>
      <c r="B853" s="530" t="s">
        <v>219</v>
      </c>
      <c r="C853" s="530" t="str">
        <f t="shared" si="23"/>
        <v>2020.Accommodation - Establishments.Non-Serviced Accommodation 5</v>
      </c>
      <c r="D853" s="530" t="s">
        <v>240</v>
      </c>
      <c r="E853" s="530" t="s">
        <v>150</v>
      </c>
      <c r="F853" s="530" t="s">
        <v>160</v>
      </c>
      <c r="G853" s="530" t="s">
        <v>237</v>
      </c>
      <c r="H853" s="530"/>
      <c r="I853" s="530"/>
      <c r="J853" s="530"/>
      <c r="K853" s="530"/>
      <c r="L853" s="530"/>
      <c r="M853" s="530"/>
      <c r="N853" s="530"/>
      <c r="O853" s="530"/>
      <c r="P853" s="530"/>
      <c r="Q853" s="530"/>
      <c r="R853" s="530"/>
      <c r="S853" s="530"/>
      <c r="T853" s="530">
        <v>0</v>
      </c>
      <c r="U853" s="530" t="s">
        <v>149</v>
      </c>
    </row>
    <row r="854" spans="1:21" ht="15" customHeight="1" x14ac:dyDescent="0.3">
      <c r="A854" s="530" t="str">
        <f t="shared" si="22"/>
        <v>Conwy.2020.Accommodation - Establishments.Non-Serviced Accommodation Total</v>
      </c>
      <c r="B854" s="530" t="s">
        <v>219</v>
      </c>
      <c r="C854" s="530" t="str">
        <f t="shared" si="23"/>
        <v>2020.Accommodation - Establishments.Non-Serviced Accommodation Total</v>
      </c>
      <c r="D854" s="530" t="s">
        <v>240</v>
      </c>
      <c r="E854" s="530" t="s">
        <v>150</v>
      </c>
      <c r="F854" s="530" t="s">
        <v>162</v>
      </c>
      <c r="G854" s="530" t="s">
        <v>230</v>
      </c>
      <c r="H854" s="530"/>
      <c r="I854" s="530"/>
      <c r="J854" s="530"/>
      <c r="K854" s="530"/>
      <c r="L854" s="530"/>
      <c r="M854" s="530"/>
      <c r="N854" s="530"/>
      <c r="O854" s="530"/>
      <c r="P854" s="530"/>
      <c r="Q854" s="530"/>
      <c r="R854" s="530"/>
      <c r="S854" s="530"/>
      <c r="T854" s="530">
        <v>905.54</v>
      </c>
      <c r="U854" s="530" t="s">
        <v>149</v>
      </c>
    </row>
    <row r="855" spans="1:21" ht="15" customHeight="1" x14ac:dyDescent="0.3">
      <c r="A855" s="530" t="str">
        <f t="shared" si="22"/>
        <v>Conwy.2020.Accommodation - Establishments.All Accommodation Types</v>
      </c>
      <c r="B855" s="530" t="s">
        <v>219</v>
      </c>
      <c r="C855" s="530" t="str">
        <f t="shared" si="23"/>
        <v>2020.Accommodation - Establishments.All Accommodation Types</v>
      </c>
      <c r="D855" s="530" t="s">
        <v>240</v>
      </c>
      <c r="E855" s="530" t="s">
        <v>150</v>
      </c>
      <c r="F855" s="530" t="s">
        <v>163</v>
      </c>
      <c r="G855" s="530" t="s">
        <v>38</v>
      </c>
      <c r="H855" s="530"/>
      <c r="I855" s="530"/>
      <c r="J855" s="530"/>
      <c r="K855" s="530"/>
      <c r="L855" s="530"/>
      <c r="M855" s="530"/>
      <c r="N855" s="530"/>
      <c r="O855" s="530"/>
      <c r="P855" s="530"/>
      <c r="Q855" s="530"/>
      <c r="R855" s="530"/>
      <c r="S855" s="530"/>
      <c r="T855" s="530">
        <v>1191.8399999999999</v>
      </c>
      <c r="U855" s="530" t="s">
        <v>149</v>
      </c>
    </row>
    <row r="856" spans="1:21" ht="13.8" x14ac:dyDescent="0.3">
      <c r="A856" s="530" t="str">
        <f t="shared" si="22"/>
        <v>Conwy.2020.Accommodation - Bed Spaces.Serviced Accommodation 1</v>
      </c>
      <c r="B856" s="530" t="s">
        <v>219</v>
      </c>
      <c r="C856" s="530" t="str">
        <f t="shared" si="23"/>
        <v>2020.Accommodation - Bed Spaces.Serviced Accommodation 1</v>
      </c>
      <c r="D856" s="530" t="s">
        <v>240</v>
      </c>
      <c r="E856" s="530" t="s">
        <v>164</v>
      </c>
      <c r="F856" s="530" t="s">
        <v>151</v>
      </c>
      <c r="G856" s="530" t="s">
        <v>221</v>
      </c>
      <c r="H856" s="530"/>
      <c r="I856" s="530"/>
      <c r="J856" s="530"/>
      <c r="K856" s="530"/>
      <c r="L856" s="530"/>
      <c r="M856" s="530"/>
      <c r="N856" s="530"/>
      <c r="O856" s="530"/>
      <c r="P856" s="530"/>
      <c r="Q856" s="530"/>
      <c r="R856" s="530"/>
      <c r="S856" s="530"/>
      <c r="T856" s="530">
        <v>3231</v>
      </c>
      <c r="U856" s="530" t="s">
        <v>58</v>
      </c>
    </row>
    <row r="857" spans="1:21" ht="13.8" x14ac:dyDescent="0.3">
      <c r="A857" s="530" t="str">
        <f t="shared" si="22"/>
        <v>Conwy.2020.Accommodation - Bed Spaces.Serviced Accommodation 2</v>
      </c>
      <c r="B857" s="530" t="s">
        <v>219</v>
      </c>
      <c r="C857" s="530" t="str">
        <f t="shared" si="23"/>
        <v>2020.Accommodation - Bed Spaces.Serviced Accommodation 2</v>
      </c>
      <c r="D857" s="530" t="s">
        <v>240</v>
      </c>
      <c r="E857" s="530" t="s">
        <v>164</v>
      </c>
      <c r="F857" s="530" t="s">
        <v>152</v>
      </c>
      <c r="G857" s="530" t="s">
        <v>222</v>
      </c>
      <c r="H857" s="530"/>
      <c r="I857" s="530"/>
      <c r="J857" s="530"/>
      <c r="K857" s="530"/>
      <c r="L857" s="530"/>
      <c r="M857" s="530"/>
      <c r="N857" s="530"/>
      <c r="O857" s="530"/>
      <c r="P857" s="530"/>
      <c r="Q857" s="530"/>
      <c r="R857" s="530"/>
      <c r="S857" s="530"/>
      <c r="T857" s="530">
        <v>2739</v>
      </c>
      <c r="U857" s="530" t="s">
        <v>58</v>
      </c>
    </row>
    <row r="858" spans="1:21" ht="13.8" x14ac:dyDescent="0.3">
      <c r="A858" s="530" t="str">
        <f t="shared" si="22"/>
        <v>Conwy.2020.Accommodation - Bed Spaces.Serviced Accommodation 3</v>
      </c>
      <c r="B858" s="530" t="s">
        <v>219</v>
      </c>
      <c r="C858" s="530" t="str">
        <f t="shared" si="23"/>
        <v>2020.Accommodation - Bed Spaces.Serviced Accommodation 3</v>
      </c>
      <c r="D858" s="530" t="s">
        <v>240</v>
      </c>
      <c r="E858" s="530" t="s">
        <v>164</v>
      </c>
      <c r="F858" s="530" t="s">
        <v>153</v>
      </c>
      <c r="G858" s="530" t="s">
        <v>223</v>
      </c>
      <c r="H858" s="530"/>
      <c r="I858" s="530"/>
      <c r="J858" s="530"/>
      <c r="K858" s="530"/>
      <c r="L858" s="530"/>
      <c r="M858" s="530"/>
      <c r="N858" s="530"/>
      <c r="O858" s="530"/>
      <c r="P858" s="530"/>
      <c r="Q858" s="530"/>
      <c r="R858" s="530"/>
      <c r="S858" s="530"/>
      <c r="T858" s="530">
        <v>2419</v>
      </c>
      <c r="U858" s="530" t="s">
        <v>58</v>
      </c>
    </row>
    <row r="859" spans="1:21" ht="13.8" x14ac:dyDescent="0.3">
      <c r="A859" s="530" t="str">
        <f t="shared" si="22"/>
        <v>Conwy.2020.Accommodation - Bed Spaces.Serviced Accommodation 4</v>
      </c>
      <c r="B859" s="530" t="s">
        <v>219</v>
      </c>
      <c r="C859" s="530" t="str">
        <f t="shared" si="23"/>
        <v>2020.Accommodation - Bed Spaces.Serviced Accommodation 4</v>
      </c>
      <c r="D859" s="530" t="s">
        <v>240</v>
      </c>
      <c r="E859" s="530" t="s">
        <v>164</v>
      </c>
      <c r="F859" s="530" t="s">
        <v>154</v>
      </c>
      <c r="G859" s="530" t="s">
        <v>224</v>
      </c>
      <c r="H859" s="530"/>
      <c r="I859" s="530"/>
      <c r="J859" s="530"/>
      <c r="K859" s="530"/>
      <c r="L859" s="530"/>
      <c r="M859" s="530"/>
      <c r="N859" s="530"/>
      <c r="O859" s="530"/>
      <c r="P859" s="530"/>
      <c r="Q859" s="530"/>
      <c r="R859" s="530"/>
      <c r="S859" s="530"/>
      <c r="T859" s="530" t="s">
        <v>224</v>
      </c>
      <c r="U859" s="530" t="s">
        <v>58</v>
      </c>
    </row>
    <row r="860" spans="1:21" ht="13.8" x14ac:dyDescent="0.3">
      <c r="A860" s="530" t="str">
        <f t="shared" si="22"/>
        <v>Conwy.2020.Accommodation - Bed Spaces.Serviced Accommodation 5</v>
      </c>
      <c r="B860" s="530" t="s">
        <v>219</v>
      </c>
      <c r="C860" s="530" t="str">
        <f t="shared" si="23"/>
        <v>2020.Accommodation - Bed Spaces.Serviced Accommodation 5</v>
      </c>
      <c r="D860" s="530" t="s">
        <v>240</v>
      </c>
      <c r="E860" s="530" t="s">
        <v>164</v>
      </c>
      <c r="F860" s="530" t="s">
        <v>155</v>
      </c>
      <c r="G860" s="530" t="s">
        <v>224</v>
      </c>
      <c r="H860" s="530"/>
      <c r="I860" s="530"/>
      <c r="J860" s="530"/>
      <c r="K860" s="530"/>
      <c r="L860" s="530"/>
      <c r="M860" s="530"/>
      <c r="N860" s="530"/>
      <c r="O860" s="530"/>
      <c r="P860" s="530"/>
      <c r="Q860" s="530"/>
      <c r="R860" s="530"/>
      <c r="S860" s="530"/>
      <c r="T860" s="530" t="s">
        <v>224</v>
      </c>
      <c r="U860" s="530" t="s">
        <v>58</v>
      </c>
    </row>
    <row r="861" spans="1:21" ht="13.8" x14ac:dyDescent="0.3">
      <c r="A861" s="530" t="str">
        <f t="shared" si="22"/>
        <v>Conwy.2020.Accommodation - Bed Spaces.Serviced Accommodation Total</v>
      </c>
      <c r="B861" s="530" t="s">
        <v>219</v>
      </c>
      <c r="C861" s="530" t="str">
        <f t="shared" si="23"/>
        <v>2020.Accommodation - Bed Spaces.Serviced Accommodation Total</v>
      </c>
      <c r="D861" s="530" t="s">
        <v>240</v>
      </c>
      <c r="E861" s="530" t="s">
        <v>164</v>
      </c>
      <c r="F861" s="530" t="s">
        <v>161</v>
      </c>
      <c r="G861" s="530" t="s">
        <v>225</v>
      </c>
      <c r="H861" s="530"/>
      <c r="I861" s="530"/>
      <c r="J861" s="530"/>
      <c r="K861" s="530"/>
      <c r="L861" s="530"/>
      <c r="M861" s="530"/>
      <c r="N861" s="530"/>
      <c r="O861" s="530"/>
      <c r="P861" s="530"/>
      <c r="Q861" s="530"/>
      <c r="R861" s="530"/>
      <c r="S861" s="530"/>
      <c r="T861" s="530">
        <v>8389</v>
      </c>
      <c r="U861" s="530" t="s">
        <v>58</v>
      </c>
    </row>
    <row r="862" spans="1:21" ht="13.8" x14ac:dyDescent="0.3">
      <c r="A862" s="530" t="str">
        <f t="shared" si="22"/>
        <v>Conwy.2020.Accommodation - Bed Spaces.Non-Serviced Accommodation 1</v>
      </c>
      <c r="B862" s="530" t="s">
        <v>219</v>
      </c>
      <c r="C862" s="530" t="str">
        <f t="shared" si="23"/>
        <v>2020.Accommodation - Bed Spaces.Non-Serviced Accommodation 1</v>
      </c>
      <c r="D862" s="530" t="s">
        <v>240</v>
      </c>
      <c r="E862" s="530" t="s">
        <v>164</v>
      </c>
      <c r="F862" s="530" t="s">
        <v>156</v>
      </c>
      <c r="G862" s="530" t="s">
        <v>226</v>
      </c>
      <c r="H862" s="530"/>
      <c r="I862" s="530"/>
      <c r="J862" s="530"/>
      <c r="K862" s="530"/>
      <c r="L862" s="530"/>
      <c r="M862" s="530"/>
      <c r="N862" s="530"/>
      <c r="O862" s="530"/>
      <c r="P862" s="530"/>
      <c r="Q862" s="530"/>
      <c r="R862" s="530"/>
      <c r="S862" s="530"/>
      <c r="T862" s="530">
        <v>4765</v>
      </c>
      <c r="U862" s="530" t="s">
        <v>58</v>
      </c>
    </row>
    <row r="863" spans="1:21" ht="13.8" x14ac:dyDescent="0.3">
      <c r="A863" s="530" t="str">
        <f t="shared" si="22"/>
        <v>Conwy.2020.Accommodation - Bed Spaces.Non-Serviced Accommodation 2</v>
      </c>
      <c r="B863" s="530" t="s">
        <v>219</v>
      </c>
      <c r="C863" s="530" t="str">
        <f t="shared" si="23"/>
        <v>2020.Accommodation - Bed Spaces.Non-Serviced Accommodation 2</v>
      </c>
      <c r="D863" s="530" t="s">
        <v>240</v>
      </c>
      <c r="E863" s="530" t="s">
        <v>164</v>
      </c>
      <c r="F863" s="530" t="s">
        <v>157</v>
      </c>
      <c r="G863" s="530" t="s">
        <v>227</v>
      </c>
      <c r="H863" s="530"/>
      <c r="I863" s="530"/>
      <c r="J863" s="530"/>
      <c r="K863" s="530"/>
      <c r="L863" s="530"/>
      <c r="M863" s="530"/>
      <c r="N863" s="530"/>
      <c r="O863" s="530"/>
      <c r="P863" s="530"/>
      <c r="Q863" s="530"/>
      <c r="R863" s="530"/>
      <c r="S863" s="530"/>
      <c r="T863" s="530">
        <v>5457.1279355925844</v>
      </c>
      <c r="U863" s="530" t="s">
        <v>58</v>
      </c>
    </row>
    <row r="864" spans="1:21" ht="13.8" x14ac:dyDescent="0.3">
      <c r="A864" s="530" t="str">
        <f t="shared" si="22"/>
        <v>Conwy.2020.Accommodation - Bed Spaces.Non-Serviced Accommodation 3</v>
      </c>
      <c r="B864" s="530" t="s">
        <v>219</v>
      </c>
      <c r="C864" s="530" t="str">
        <f t="shared" si="23"/>
        <v>2020.Accommodation - Bed Spaces.Non-Serviced Accommodation 3</v>
      </c>
      <c r="D864" s="530" t="s">
        <v>240</v>
      </c>
      <c r="E864" s="530" t="s">
        <v>164</v>
      </c>
      <c r="F864" s="530" t="s">
        <v>158</v>
      </c>
      <c r="G864" s="530" t="s">
        <v>228</v>
      </c>
      <c r="H864" s="530"/>
      <c r="I864" s="530"/>
      <c r="J864" s="530"/>
      <c r="K864" s="530"/>
      <c r="L864" s="530"/>
      <c r="M864" s="530"/>
      <c r="N864" s="530"/>
      <c r="O864" s="530"/>
      <c r="P864" s="530"/>
      <c r="Q864" s="530"/>
      <c r="R864" s="530"/>
      <c r="S864" s="530"/>
      <c r="T864" s="530">
        <v>5633.4960000000001</v>
      </c>
      <c r="U864" s="530" t="s">
        <v>58</v>
      </c>
    </row>
    <row r="865" spans="1:21" ht="13.8" x14ac:dyDescent="0.3">
      <c r="A865" s="530" t="str">
        <f t="shared" si="22"/>
        <v>Conwy.2020.Accommodation - Bed Spaces.Non-Serviced Accommodation 4</v>
      </c>
      <c r="B865" s="530" t="s">
        <v>219</v>
      </c>
      <c r="C865" s="530" t="str">
        <f t="shared" si="23"/>
        <v>2020.Accommodation - Bed Spaces.Non-Serviced Accommodation 4</v>
      </c>
      <c r="D865" s="530" t="s">
        <v>240</v>
      </c>
      <c r="E865" s="530" t="s">
        <v>164</v>
      </c>
      <c r="F865" s="530" t="s">
        <v>159</v>
      </c>
      <c r="G865" s="530" t="s">
        <v>229</v>
      </c>
      <c r="H865" s="530"/>
      <c r="I865" s="530"/>
      <c r="J865" s="530"/>
      <c r="K865" s="530"/>
      <c r="L865" s="530"/>
      <c r="M865" s="530"/>
      <c r="N865" s="530"/>
      <c r="O865" s="530"/>
      <c r="P865" s="530"/>
      <c r="Q865" s="530"/>
      <c r="R865" s="530"/>
      <c r="S865" s="530"/>
      <c r="T865" s="530">
        <v>22427.608064407417</v>
      </c>
      <c r="U865" s="530" t="s">
        <v>58</v>
      </c>
    </row>
    <row r="866" spans="1:21" ht="13.8" x14ac:dyDescent="0.3">
      <c r="A866" s="530" t="str">
        <f t="shared" si="22"/>
        <v>Conwy.2020.Accommodation - Bed Spaces.Non-Serviced Accommodation 5</v>
      </c>
      <c r="B866" s="530" t="s">
        <v>219</v>
      </c>
      <c r="C866" s="530" t="str">
        <f t="shared" si="23"/>
        <v>2020.Accommodation - Bed Spaces.Non-Serviced Accommodation 5</v>
      </c>
      <c r="D866" s="530" t="s">
        <v>240</v>
      </c>
      <c r="E866" s="530" t="s">
        <v>164</v>
      </c>
      <c r="F866" s="530" t="s">
        <v>160</v>
      </c>
      <c r="G866" s="530" t="s">
        <v>237</v>
      </c>
      <c r="H866" s="530"/>
      <c r="I866" s="530"/>
      <c r="J866" s="530"/>
      <c r="K866" s="530"/>
      <c r="L866" s="530"/>
      <c r="M866" s="530"/>
      <c r="N866" s="530"/>
      <c r="O866" s="530"/>
      <c r="P866" s="530"/>
      <c r="Q866" s="530"/>
      <c r="R866" s="530"/>
      <c r="S866" s="530"/>
      <c r="T866" s="530">
        <v>2325.2487512875855</v>
      </c>
      <c r="U866" s="530" t="s">
        <v>58</v>
      </c>
    </row>
    <row r="867" spans="1:21" ht="13.8" x14ac:dyDescent="0.3">
      <c r="A867" s="530" t="str">
        <f t="shared" si="22"/>
        <v>Conwy.2020.Accommodation - Bed Spaces.Non-Serviced Accommodation Total</v>
      </c>
      <c r="B867" s="530" t="s">
        <v>219</v>
      </c>
      <c r="C867" s="530" t="str">
        <f t="shared" si="23"/>
        <v>2020.Accommodation - Bed Spaces.Non-Serviced Accommodation Total</v>
      </c>
      <c r="D867" s="530" t="s">
        <v>240</v>
      </c>
      <c r="E867" s="530" t="s">
        <v>164</v>
      </c>
      <c r="F867" s="530" t="s">
        <v>162</v>
      </c>
      <c r="G867" s="530" t="s">
        <v>230</v>
      </c>
      <c r="H867" s="530"/>
      <c r="I867" s="530"/>
      <c r="J867" s="530"/>
      <c r="K867" s="530"/>
      <c r="L867" s="530"/>
      <c r="M867" s="530"/>
      <c r="N867" s="530"/>
      <c r="O867" s="530"/>
      <c r="P867" s="530"/>
      <c r="Q867" s="530"/>
      <c r="R867" s="530"/>
      <c r="S867" s="530"/>
      <c r="T867" s="530">
        <v>40608.480751287592</v>
      </c>
      <c r="U867" s="530" t="s">
        <v>58</v>
      </c>
    </row>
    <row r="868" spans="1:21" ht="13.8" x14ac:dyDescent="0.3">
      <c r="A868" s="530" t="str">
        <f t="shared" si="22"/>
        <v>Conwy.2020.Accommodation - Bed Spaces.All Accommodation Types</v>
      </c>
      <c r="B868" s="530" t="s">
        <v>219</v>
      </c>
      <c r="C868" s="530" t="str">
        <f t="shared" si="23"/>
        <v>2020.Accommodation - Bed Spaces.All Accommodation Types</v>
      </c>
      <c r="D868" s="530" t="s">
        <v>240</v>
      </c>
      <c r="E868" s="530" t="s">
        <v>164</v>
      </c>
      <c r="F868" s="530" t="s">
        <v>163</v>
      </c>
      <c r="G868" s="530" t="s">
        <v>38</v>
      </c>
      <c r="H868" s="530"/>
      <c r="I868" s="530"/>
      <c r="J868" s="530"/>
      <c r="K868" s="530"/>
      <c r="L868" s="530"/>
      <c r="M868" s="530"/>
      <c r="N868" s="530"/>
      <c r="O868" s="530"/>
      <c r="P868" s="530"/>
      <c r="Q868" s="530"/>
      <c r="R868" s="530"/>
      <c r="S868" s="530"/>
      <c r="T868" s="530">
        <v>48997.480751287592</v>
      </c>
      <c r="U868" s="530" t="s">
        <v>58</v>
      </c>
    </row>
    <row r="869" spans="1:21" ht="13.8" x14ac:dyDescent="0.3">
      <c r="A869" s="530" t="str">
        <f t="shared" si="18"/>
        <v>Conwy.2021.Accommodation - Establishments.Serviced Accommodation 1</v>
      </c>
      <c r="B869" s="530" t="s">
        <v>219</v>
      </c>
      <c r="C869" s="530" t="str">
        <f t="shared" si="19"/>
        <v>2021.Accommodation - Establishments.Serviced Accommodation 1</v>
      </c>
      <c r="D869" s="530" t="s">
        <v>241</v>
      </c>
      <c r="E869" s="530" t="s">
        <v>150</v>
      </c>
      <c r="F869" s="530" t="s">
        <v>151</v>
      </c>
      <c r="G869" s="530" t="s">
        <v>221</v>
      </c>
      <c r="H869" s="530"/>
      <c r="I869" s="530"/>
      <c r="J869" s="530"/>
      <c r="K869" s="530"/>
      <c r="L869" s="530"/>
      <c r="M869" s="530"/>
      <c r="N869" s="530"/>
      <c r="O869" s="530"/>
      <c r="P869" s="530"/>
      <c r="Q869" s="530"/>
      <c r="R869" s="530"/>
      <c r="S869" s="530"/>
      <c r="T869" s="530">
        <v>22</v>
      </c>
      <c r="U869" s="530" t="s">
        <v>149</v>
      </c>
    </row>
    <row r="870" spans="1:21" ht="13.8" x14ac:dyDescent="0.3">
      <c r="A870" s="530" t="str">
        <f t="shared" si="18"/>
        <v>Conwy.2021.Accommodation - Establishments.Serviced Accommodation 2</v>
      </c>
      <c r="B870" s="530" t="s">
        <v>219</v>
      </c>
      <c r="C870" s="530" t="str">
        <f t="shared" si="19"/>
        <v>2021.Accommodation - Establishments.Serviced Accommodation 2</v>
      </c>
      <c r="D870" s="530" t="s">
        <v>241</v>
      </c>
      <c r="E870" s="530" t="s">
        <v>150</v>
      </c>
      <c r="F870" s="530" t="s">
        <v>152</v>
      </c>
      <c r="G870" s="530" t="s">
        <v>222</v>
      </c>
      <c r="H870" s="530"/>
      <c r="I870" s="530"/>
      <c r="J870" s="530"/>
      <c r="K870" s="530"/>
      <c r="L870" s="530"/>
      <c r="M870" s="530"/>
      <c r="N870" s="530"/>
      <c r="O870" s="530"/>
      <c r="P870" s="530"/>
      <c r="Q870" s="530"/>
      <c r="R870" s="530"/>
      <c r="S870" s="530"/>
      <c r="T870" s="530">
        <v>68</v>
      </c>
      <c r="U870" s="530" t="s">
        <v>149</v>
      </c>
    </row>
    <row r="871" spans="1:21" ht="13.8" x14ac:dyDescent="0.3">
      <c r="A871" s="530" t="str">
        <f t="shared" si="18"/>
        <v>Conwy.2021.Accommodation - Establishments.Serviced Accommodation 3</v>
      </c>
      <c r="B871" s="530" t="s">
        <v>219</v>
      </c>
      <c r="C871" s="530" t="str">
        <f t="shared" si="19"/>
        <v>2021.Accommodation - Establishments.Serviced Accommodation 3</v>
      </c>
      <c r="D871" s="530" t="s">
        <v>241</v>
      </c>
      <c r="E871" s="530" t="s">
        <v>150</v>
      </c>
      <c r="F871" s="530" t="s">
        <v>153</v>
      </c>
      <c r="G871" s="530" t="s">
        <v>223</v>
      </c>
      <c r="H871" s="530"/>
      <c r="I871" s="530"/>
      <c r="J871" s="530"/>
      <c r="K871" s="530"/>
      <c r="L871" s="530"/>
      <c r="M871" s="530"/>
      <c r="N871" s="530"/>
      <c r="O871" s="530"/>
      <c r="P871" s="530"/>
      <c r="Q871" s="530"/>
      <c r="R871" s="530"/>
      <c r="S871" s="530"/>
      <c r="T871" s="530">
        <v>227</v>
      </c>
      <c r="U871" s="530" t="s">
        <v>149</v>
      </c>
    </row>
    <row r="872" spans="1:21" ht="13.8" x14ac:dyDescent="0.3">
      <c r="A872" s="530" t="str">
        <f t="shared" si="18"/>
        <v>Conwy.2021.Accommodation - Establishments.Serviced Accommodation 4</v>
      </c>
      <c r="B872" s="530" t="s">
        <v>219</v>
      </c>
      <c r="C872" s="530" t="str">
        <f t="shared" si="19"/>
        <v>2021.Accommodation - Establishments.Serviced Accommodation 4</v>
      </c>
      <c r="D872" s="530" t="s">
        <v>241</v>
      </c>
      <c r="E872" s="530" t="s">
        <v>150</v>
      </c>
      <c r="F872" s="530" t="s">
        <v>154</v>
      </c>
      <c r="G872" s="530" t="s">
        <v>224</v>
      </c>
      <c r="H872" s="530"/>
      <c r="I872" s="530"/>
      <c r="J872" s="530"/>
      <c r="K872" s="530"/>
      <c r="L872" s="530"/>
      <c r="M872" s="530"/>
      <c r="N872" s="530"/>
      <c r="O872" s="530"/>
      <c r="P872" s="530"/>
      <c r="Q872" s="530"/>
      <c r="R872" s="530"/>
      <c r="S872" s="530"/>
      <c r="T872" s="530" t="s">
        <v>224</v>
      </c>
      <c r="U872" s="530" t="s">
        <v>149</v>
      </c>
    </row>
    <row r="873" spans="1:21" ht="13.8" x14ac:dyDescent="0.3">
      <c r="A873" s="530" t="str">
        <f t="shared" si="18"/>
        <v>Conwy.2021.Accommodation - Establishments.Serviced Accommodation 5</v>
      </c>
      <c r="B873" s="530" t="s">
        <v>219</v>
      </c>
      <c r="C873" s="530" t="str">
        <f t="shared" si="19"/>
        <v>2021.Accommodation - Establishments.Serviced Accommodation 5</v>
      </c>
      <c r="D873" s="530" t="s">
        <v>241</v>
      </c>
      <c r="E873" s="530" t="s">
        <v>150</v>
      </c>
      <c r="F873" s="530" t="s">
        <v>155</v>
      </c>
      <c r="G873" s="530" t="s">
        <v>224</v>
      </c>
      <c r="H873" s="530"/>
      <c r="I873" s="530"/>
      <c r="J873" s="530"/>
      <c r="K873" s="530"/>
      <c r="L873" s="530"/>
      <c r="M873" s="530"/>
      <c r="N873" s="530"/>
      <c r="O873" s="530"/>
      <c r="P873" s="530"/>
      <c r="Q873" s="530"/>
      <c r="R873" s="530"/>
      <c r="S873" s="530"/>
      <c r="T873" s="530" t="s">
        <v>224</v>
      </c>
      <c r="U873" s="530" t="s">
        <v>149</v>
      </c>
    </row>
    <row r="874" spans="1:21" ht="15" customHeight="1" x14ac:dyDescent="0.3">
      <c r="A874" s="530" t="str">
        <f t="shared" si="18"/>
        <v>Conwy.2021.Accommodation - Establishments.Serviced Accommodation Total</v>
      </c>
      <c r="B874" s="530" t="s">
        <v>219</v>
      </c>
      <c r="C874" s="530" t="str">
        <f t="shared" si="19"/>
        <v>2021.Accommodation - Establishments.Serviced Accommodation Total</v>
      </c>
      <c r="D874" s="530" t="s">
        <v>241</v>
      </c>
      <c r="E874" s="530" t="s">
        <v>150</v>
      </c>
      <c r="F874" s="530" t="s">
        <v>161</v>
      </c>
      <c r="G874" s="530" t="s">
        <v>225</v>
      </c>
      <c r="H874" s="530"/>
      <c r="I874" s="530"/>
      <c r="J874" s="530"/>
      <c r="K874" s="530"/>
      <c r="L874" s="530"/>
      <c r="M874" s="530"/>
      <c r="N874" s="530"/>
      <c r="O874" s="530"/>
      <c r="P874" s="530"/>
      <c r="Q874" s="530"/>
      <c r="R874" s="530"/>
      <c r="S874" s="530"/>
      <c r="T874" s="530">
        <v>317</v>
      </c>
      <c r="U874" s="530" t="s">
        <v>149</v>
      </c>
    </row>
    <row r="875" spans="1:21" ht="15" customHeight="1" x14ac:dyDescent="0.3">
      <c r="A875" s="530" t="str">
        <f t="shared" si="18"/>
        <v>Conwy.2021.Accommodation - Establishments.Non-Serviced Accommodation 1</v>
      </c>
      <c r="B875" s="530" t="s">
        <v>219</v>
      </c>
      <c r="C875" s="530" t="str">
        <f t="shared" si="19"/>
        <v>2021.Accommodation - Establishments.Non-Serviced Accommodation 1</v>
      </c>
      <c r="D875" s="530" t="s">
        <v>241</v>
      </c>
      <c r="E875" s="530" t="s">
        <v>150</v>
      </c>
      <c r="F875" s="530" t="s">
        <v>156</v>
      </c>
      <c r="G875" s="530" t="s">
        <v>226</v>
      </c>
      <c r="H875" s="530"/>
      <c r="I875" s="530"/>
      <c r="J875" s="530"/>
      <c r="K875" s="530"/>
      <c r="L875" s="530"/>
      <c r="M875" s="530"/>
      <c r="N875" s="530"/>
      <c r="O875" s="530"/>
      <c r="P875" s="530"/>
      <c r="Q875" s="530"/>
      <c r="R875" s="530"/>
      <c r="S875" s="530"/>
      <c r="T875" s="530">
        <v>770</v>
      </c>
      <c r="U875" s="530" t="s">
        <v>149</v>
      </c>
    </row>
    <row r="876" spans="1:21" ht="15" customHeight="1" x14ac:dyDescent="0.3">
      <c r="A876" s="530" t="str">
        <f t="shared" si="18"/>
        <v>Conwy.2021.Accommodation - Establishments.Non-Serviced Accommodation 2</v>
      </c>
      <c r="B876" s="530" t="s">
        <v>219</v>
      </c>
      <c r="C876" s="530" t="str">
        <f t="shared" si="19"/>
        <v>2021.Accommodation - Establishments.Non-Serviced Accommodation 2</v>
      </c>
      <c r="D876" s="530" t="s">
        <v>241</v>
      </c>
      <c r="E876" s="530" t="s">
        <v>150</v>
      </c>
      <c r="F876" s="530" t="s">
        <v>157</v>
      </c>
      <c r="G876" s="530" t="s">
        <v>227</v>
      </c>
      <c r="H876" s="530"/>
      <c r="I876" s="530"/>
      <c r="J876" s="530"/>
      <c r="K876" s="530"/>
      <c r="L876" s="530"/>
      <c r="M876" s="530"/>
      <c r="N876" s="530"/>
      <c r="O876" s="530"/>
      <c r="P876" s="530"/>
      <c r="Q876" s="530"/>
      <c r="R876" s="530"/>
      <c r="S876" s="530"/>
      <c r="T876" s="530">
        <v>88</v>
      </c>
      <c r="U876" s="530" t="s">
        <v>149</v>
      </c>
    </row>
    <row r="877" spans="1:21" ht="15" customHeight="1" x14ac:dyDescent="0.3">
      <c r="A877" s="530" t="str">
        <f t="shared" si="18"/>
        <v>Conwy.2021.Accommodation - Establishments.Non-Serviced Accommodation 3</v>
      </c>
      <c r="B877" s="530" t="s">
        <v>219</v>
      </c>
      <c r="C877" s="530" t="str">
        <f t="shared" si="19"/>
        <v>2021.Accommodation - Establishments.Non-Serviced Accommodation 3</v>
      </c>
      <c r="D877" s="530" t="s">
        <v>241</v>
      </c>
      <c r="E877" s="530" t="s">
        <v>150</v>
      </c>
      <c r="F877" s="530" t="s">
        <v>158</v>
      </c>
      <c r="G877" s="530" t="s">
        <v>228</v>
      </c>
      <c r="H877" s="530"/>
      <c r="I877" s="530"/>
      <c r="J877" s="530"/>
      <c r="K877" s="530"/>
      <c r="L877" s="530"/>
      <c r="M877" s="530"/>
      <c r="N877" s="530"/>
      <c r="O877" s="530"/>
      <c r="P877" s="530"/>
      <c r="Q877" s="530"/>
      <c r="R877" s="530"/>
      <c r="S877" s="530"/>
      <c r="T877" s="530">
        <v>58</v>
      </c>
      <c r="U877" s="530" t="s">
        <v>149</v>
      </c>
    </row>
    <row r="878" spans="1:21" ht="15" customHeight="1" x14ac:dyDescent="0.3">
      <c r="A878" s="530" t="str">
        <f t="shared" si="18"/>
        <v>Conwy.2021.Accommodation - Establishments.Non-Serviced Accommodation 4</v>
      </c>
      <c r="B878" s="530" t="s">
        <v>219</v>
      </c>
      <c r="C878" s="530" t="str">
        <f t="shared" si="19"/>
        <v>2021.Accommodation - Establishments.Non-Serviced Accommodation 4</v>
      </c>
      <c r="D878" s="530" t="s">
        <v>241</v>
      </c>
      <c r="E878" s="530" t="s">
        <v>150</v>
      </c>
      <c r="F878" s="530" t="s">
        <v>159</v>
      </c>
      <c r="G878" s="530" t="s">
        <v>229</v>
      </c>
      <c r="H878" s="530"/>
      <c r="I878" s="530"/>
      <c r="J878" s="530"/>
      <c r="K878" s="530"/>
      <c r="L878" s="530"/>
      <c r="M878" s="530"/>
      <c r="N878" s="530"/>
      <c r="O878" s="530"/>
      <c r="P878" s="530"/>
      <c r="Q878" s="530"/>
      <c r="R878" s="530"/>
      <c r="S878" s="530"/>
      <c r="T878" s="530">
        <v>0</v>
      </c>
      <c r="U878" s="530" t="s">
        <v>149</v>
      </c>
    </row>
    <row r="879" spans="1:21" ht="15" customHeight="1" x14ac:dyDescent="0.3">
      <c r="A879" s="530" t="str">
        <f t="shared" si="18"/>
        <v>Conwy.2021.Accommodation - Establishments.Non-Serviced Accommodation 5</v>
      </c>
      <c r="B879" s="530" t="s">
        <v>219</v>
      </c>
      <c r="C879" s="530" t="str">
        <f t="shared" si="19"/>
        <v>2021.Accommodation - Establishments.Non-Serviced Accommodation 5</v>
      </c>
      <c r="D879" s="530" t="s">
        <v>241</v>
      </c>
      <c r="E879" s="530" t="s">
        <v>150</v>
      </c>
      <c r="F879" s="530" t="s">
        <v>160</v>
      </c>
      <c r="G879" s="530" t="s">
        <v>237</v>
      </c>
      <c r="H879" s="530"/>
      <c r="I879" s="530"/>
      <c r="J879" s="530"/>
      <c r="K879" s="530"/>
      <c r="L879" s="530"/>
      <c r="M879" s="530"/>
      <c r="N879" s="530"/>
      <c r="O879" s="530"/>
      <c r="P879" s="530"/>
      <c r="Q879" s="530"/>
      <c r="R879" s="530"/>
      <c r="S879" s="530"/>
      <c r="T879" s="530">
        <v>0</v>
      </c>
      <c r="U879" s="530" t="s">
        <v>149</v>
      </c>
    </row>
    <row r="880" spans="1:21" ht="15" customHeight="1" x14ac:dyDescent="0.3">
      <c r="A880" s="530" t="str">
        <f t="shared" si="18"/>
        <v>Conwy.2021.Accommodation - Establishments.Non-Serviced Accommodation Total</v>
      </c>
      <c r="B880" s="530" t="s">
        <v>219</v>
      </c>
      <c r="C880" s="530" t="str">
        <f t="shared" si="19"/>
        <v>2021.Accommodation - Establishments.Non-Serviced Accommodation Total</v>
      </c>
      <c r="D880" s="530" t="s">
        <v>241</v>
      </c>
      <c r="E880" s="530" t="s">
        <v>150</v>
      </c>
      <c r="F880" s="530" t="s">
        <v>162</v>
      </c>
      <c r="G880" s="530" t="s">
        <v>230</v>
      </c>
      <c r="H880" s="530"/>
      <c r="I880" s="530"/>
      <c r="J880" s="530"/>
      <c r="K880" s="530"/>
      <c r="L880" s="530"/>
      <c r="M880" s="530"/>
      <c r="N880" s="530"/>
      <c r="O880" s="530"/>
      <c r="P880" s="530"/>
      <c r="Q880" s="530"/>
      <c r="R880" s="530"/>
      <c r="S880" s="530"/>
      <c r="T880" s="530">
        <v>916</v>
      </c>
      <c r="U880" s="530" t="s">
        <v>149</v>
      </c>
    </row>
    <row r="881" spans="1:21" ht="15" customHeight="1" x14ac:dyDescent="0.3">
      <c r="A881" s="530" t="str">
        <f t="shared" si="18"/>
        <v>Conwy.2021.Accommodation - Establishments.All Accommodation Types</v>
      </c>
      <c r="B881" s="530" t="s">
        <v>219</v>
      </c>
      <c r="C881" s="530" t="str">
        <f t="shared" si="19"/>
        <v>2021.Accommodation - Establishments.All Accommodation Types</v>
      </c>
      <c r="D881" s="530" t="s">
        <v>241</v>
      </c>
      <c r="E881" s="530" t="s">
        <v>150</v>
      </c>
      <c r="F881" s="530" t="s">
        <v>163</v>
      </c>
      <c r="G881" s="530" t="s">
        <v>38</v>
      </c>
      <c r="H881" s="530"/>
      <c r="I881" s="530"/>
      <c r="J881" s="530"/>
      <c r="K881" s="530"/>
      <c r="L881" s="530"/>
      <c r="M881" s="530"/>
      <c r="N881" s="530"/>
      <c r="O881" s="530"/>
      <c r="P881" s="530"/>
      <c r="Q881" s="530"/>
      <c r="R881" s="530"/>
      <c r="S881" s="530"/>
      <c r="T881" s="530">
        <v>1233</v>
      </c>
      <c r="U881" s="530" t="s">
        <v>149</v>
      </c>
    </row>
    <row r="882" spans="1:21" ht="13.8" x14ac:dyDescent="0.3">
      <c r="A882" s="530" t="str">
        <f t="shared" si="18"/>
        <v>Conwy.2021.Accommodation - Bed Spaces.Serviced Accommodation 1</v>
      </c>
      <c r="B882" s="530" t="s">
        <v>219</v>
      </c>
      <c r="C882" s="530" t="str">
        <f t="shared" si="19"/>
        <v>2021.Accommodation - Bed Spaces.Serviced Accommodation 1</v>
      </c>
      <c r="D882" s="530" t="s">
        <v>241</v>
      </c>
      <c r="E882" s="530" t="s">
        <v>164</v>
      </c>
      <c r="F882" s="530" t="s">
        <v>151</v>
      </c>
      <c r="G882" s="530" t="s">
        <v>221</v>
      </c>
      <c r="H882" s="530"/>
      <c r="I882" s="530"/>
      <c r="J882" s="530"/>
      <c r="K882" s="530"/>
      <c r="L882" s="530"/>
      <c r="M882" s="530"/>
      <c r="N882" s="530"/>
      <c r="O882" s="530"/>
      <c r="P882" s="530"/>
      <c r="Q882" s="530"/>
      <c r="R882" s="530"/>
      <c r="S882" s="530"/>
      <c r="T882" s="530">
        <v>3535</v>
      </c>
      <c r="U882" s="530" t="s">
        <v>58</v>
      </c>
    </row>
    <row r="883" spans="1:21" ht="13.8" x14ac:dyDescent="0.3">
      <c r="A883" s="530" t="str">
        <f t="shared" si="18"/>
        <v>Conwy.2021.Accommodation - Bed Spaces.Serviced Accommodation 2</v>
      </c>
      <c r="B883" s="530" t="s">
        <v>219</v>
      </c>
      <c r="C883" s="530" t="str">
        <f t="shared" si="19"/>
        <v>2021.Accommodation - Bed Spaces.Serviced Accommodation 2</v>
      </c>
      <c r="D883" s="530" t="s">
        <v>241</v>
      </c>
      <c r="E883" s="530" t="s">
        <v>164</v>
      </c>
      <c r="F883" s="530" t="s">
        <v>152</v>
      </c>
      <c r="G883" s="530" t="s">
        <v>222</v>
      </c>
      <c r="H883" s="530"/>
      <c r="I883" s="530"/>
      <c r="J883" s="530"/>
      <c r="K883" s="530"/>
      <c r="L883" s="530"/>
      <c r="M883" s="530"/>
      <c r="N883" s="530"/>
      <c r="O883" s="530"/>
      <c r="P883" s="530"/>
      <c r="Q883" s="530"/>
      <c r="R883" s="530"/>
      <c r="S883" s="530"/>
      <c r="T883" s="530">
        <v>3022</v>
      </c>
      <c r="U883" s="530" t="s">
        <v>58</v>
      </c>
    </row>
    <row r="884" spans="1:21" ht="13.8" x14ac:dyDescent="0.3">
      <c r="A884" s="530" t="str">
        <f t="shared" si="18"/>
        <v>Conwy.2021.Accommodation - Bed Spaces.Serviced Accommodation 3</v>
      </c>
      <c r="B884" s="530" t="s">
        <v>219</v>
      </c>
      <c r="C884" s="530" t="str">
        <f t="shared" si="19"/>
        <v>2021.Accommodation - Bed Spaces.Serviced Accommodation 3</v>
      </c>
      <c r="D884" s="530" t="s">
        <v>241</v>
      </c>
      <c r="E884" s="530" t="s">
        <v>164</v>
      </c>
      <c r="F884" s="530" t="s">
        <v>153</v>
      </c>
      <c r="G884" s="530" t="s">
        <v>223</v>
      </c>
      <c r="H884" s="530"/>
      <c r="I884" s="530"/>
      <c r="J884" s="530"/>
      <c r="K884" s="530"/>
      <c r="L884" s="530"/>
      <c r="M884" s="530"/>
      <c r="N884" s="530"/>
      <c r="O884" s="530"/>
      <c r="P884" s="530"/>
      <c r="Q884" s="530"/>
      <c r="R884" s="530"/>
      <c r="S884" s="530"/>
      <c r="T884" s="530">
        <v>2736</v>
      </c>
      <c r="U884" s="530" t="s">
        <v>58</v>
      </c>
    </row>
    <row r="885" spans="1:21" ht="13.8" x14ac:dyDescent="0.3">
      <c r="A885" s="530" t="str">
        <f t="shared" si="18"/>
        <v>Conwy.2021.Accommodation - Bed Spaces.Serviced Accommodation 4</v>
      </c>
      <c r="B885" s="530" t="s">
        <v>219</v>
      </c>
      <c r="C885" s="530" t="str">
        <f t="shared" si="19"/>
        <v>2021.Accommodation - Bed Spaces.Serviced Accommodation 4</v>
      </c>
      <c r="D885" s="530" t="s">
        <v>241</v>
      </c>
      <c r="E885" s="530" t="s">
        <v>164</v>
      </c>
      <c r="F885" s="530" t="s">
        <v>154</v>
      </c>
      <c r="G885" s="530" t="s">
        <v>224</v>
      </c>
      <c r="H885" s="530"/>
      <c r="I885" s="530"/>
      <c r="J885" s="530"/>
      <c r="K885" s="530"/>
      <c r="L885" s="530"/>
      <c r="M885" s="530"/>
      <c r="N885" s="530"/>
      <c r="O885" s="530"/>
      <c r="P885" s="530"/>
      <c r="Q885" s="530"/>
      <c r="R885" s="530"/>
      <c r="S885" s="530"/>
      <c r="T885" s="530" t="s">
        <v>224</v>
      </c>
      <c r="U885" s="530" t="s">
        <v>58</v>
      </c>
    </row>
    <row r="886" spans="1:21" ht="13.8" x14ac:dyDescent="0.3">
      <c r="A886" s="530" t="str">
        <f t="shared" si="18"/>
        <v>Conwy.2021.Accommodation - Bed Spaces.Serviced Accommodation 5</v>
      </c>
      <c r="B886" s="530" t="s">
        <v>219</v>
      </c>
      <c r="C886" s="530" t="str">
        <f t="shared" si="19"/>
        <v>2021.Accommodation - Bed Spaces.Serviced Accommodation 5</v>
      </c>
      <c r="D886" s="530" t="s">
        <v>241</v>
      </c>
      <c r="E886" s="530" t="s">
        <v>164</v>
      </c>
      <c r="F886" s="530" t="s">
        <v>155</v>
      </c>
      <c r="G886" s="530" t="s">
        <v>224</v>
      </c>
      <c r="H886" s="530"/>
      <c r="I886" s="530"/>
      <c r="J886" s="530"/>
      <c r="K886" s="530"/>
      <c r="L886" s="530"/>
      <c r="M886" s="530"/>
      <c r="N886" s="530"/>
      <c r="O886" s="530"/>
      <c r="P886" s="530"/>
      <c r="Q886" s="530"/>
      <c r="R886" s="530"/>
      <c r="S886" s="530"/>
      <c r="T886" s="530" t="s">
        <v>224</v>
      </c>
      <c r="U886" s="530" t="s">
        <v>58</v>
      </c>
    </row>
    <row r="887" spans="1:21" ht="13.8" x14ac:dyDescent="0.3">
      <c r="A887" s="530" t="str">
        <f t="shared" si="18"/>
        <v>Conwy.2021.Accommodation - Bed Spaces.Serviced Accommodation Total</v>
      </c>
      <c r="B887" s="530" t="s">
        <v>219</v>
      </c>
      <c r="C887" s="530" t="str">
        <f t="shared" si="19"/>
        <v>2021.Accommodation - Bed Spaces.Serviced Accommodation Total</v>
      </c>
      <c r="D887" s="530" t="s">
        <v>241</v>
      </c>
      <c r="E887" s="530" t="s">
        <v>164</v>
      </c>
      <c r="F887" s="530" t="s">
        <v>161</v>
      </c>
      <c r="G887" s="530" t="s">
        <v>225</v>
      </c>
      <c r="H887" s="530"/>
      <c r="I887" s="530"/>
      <c r="J887" s="530"/>
      <c r="K887" s="530"/>
      <c r="L887" s="530"/>
      <c r="M887" s="530"/>
      <c r="N887" s="530"/>
      <c r="O887" s="530"/>
      <c r="P887" s="530"/>
      <c r="Q887" s="530"/>
      <c r="R887" s="530"/>
      <c r="S887" s="530"/>
      <c r="T887" s="530">
        <v>9293</v>
      </c>
      <c r="U887" s="530" t="s">
        <v>58</v>
      </c>
    </row>
    <row r="888" spans="1:21" ht="13.8" x14ac:dyDescent="0.3">
      <c r="A888" s="530" t="str">
        <f t="shared" si="18"/>
        <v>Conwy.2021.Accommodation - Bed Spaces.Non-Serviced Accommodation 1</v>
      </c>
      <c r="B888" s="530" t="s">
        <v>219</v>
      </c>
      <c r="C888" s="530" t="str">
        <f t="shared" si="19"/>
        <v>2021.Accommodation - Bed Spaces.Non-Serviced Accommodation 1</v>
      </c>
      <c r="D888" s="530" t="s">
        <v>241</v>
      </c>
      <c r="E888" s="530" t="s">
        <v>164</v>
      </c>
      <c r="F888" s="530" t="s">
        <v>156</v>
      </c>
      <c r="G888" s="530" t="s">
        <v>226</v>
      </c>
      <c r="H888" s="530"/>
      <c r="I888" s="530"/>
      <c r="J888" s="530"/>
      <c r="K888" s="530"/>
      <c r="L888" s="530"/>
      <c r="M888" s="530"/>
      <c r="N888" s="530"/>
      <c r="O888" s="530"/>
      <c r="P888" s="530"/>
      <c r="Q888" s="530"/>
      <c r="R888" s="530"/>
      <c r="S888" s="530"/>
      <c r="T888" s="530">
        <v>4827</v>
      </c>
      <c r="U888" s="530" t="s">
        <v>58</v>
      </c>
    </row>
    <row r="889" spans="1:21" ht="13.8" x14ac:dyDescent="0.3">
      <c r="A889" s="530" t="str">
        <f t="shared" si="18"/>
        <v>Conwy.2021.Accommodation - Bed Spaces.Non-Serviced Accommodation 2</v>
      </c>
      <c r="B889" s="530" t="s">
        <v>219</v>
      </c>
      <c r="C889" s="530" t="str">
        <f t="shared" si="19"/>
        <v>2021.Accommodation - Bed Spaces.Non-Serviced Accommodation 2</v>
      </c>
      <c r="D889" s="530" t="s">
        <v>241</v>
      </c>
      <c r="E889" s="530" t="s">
        <v>164</v>
      </c>
      <c r="F889" s="530" t="s">
        <v>157</v>
      </c>
      <c r="G889" s="530" t="s">
        <v>227</v>
      </c>
      <c r="H889" s="530"/>
      <c r="I889" s="530"/>
      <c r="J889" s="530"/>
      <c r="K889" s="530"/>
      <c r="L889" s="530"/>
      <c r="M889" s="530"/>
      <c r="N889" s="530"/>
      <c r="O889" s="530"/>
      <c r="P889" s="530"/>
      <c r="Q889" s="530"/>
      <c r="R889" s="530"/>
      <c r="S889" s="530"/>
      <c r="T889" s="530">
        <v>6895.2570679648015</v>
      </c>
      <c r="U889" s="530" t="s">
        <v>58</v>
      </c>
    </row>
    <row r="890" spans="1:21" ht="13.8" x14ac:dyDescent="0.3">
      <c r="A890" s="530" t="str">
        <f t="shared" si="18"/>
        <v>Conwy.2021.Accommodation - Bed Spaces.Non-Serviced Accommodation 3</v>
      </c>
      <c r="B890" s="530" t="s">
        <v>219</v>
      </c>
      <c r="C890" s="530" t="str">
        <f t="shared" si="19"/>
        <v>2021.Accommodation - Bed Spaces.Non-Serviced Accommodation 3</v>
      </c>
      <c r="D890" s="530" t="s">
        <v>241</v>
      </c>
      <c r="E890" s="530" t="s">
        <v>164</v>
      </c>
      <c r="F890" s="530" t="s">
        <v>158</v>
      </c>
      <c r="G890" s="530" t="s">
        <v>228</v>
      </c>
      <c r="H890" s="530"/>
      <c r="I890" s="530"/>
      <c r="J890" s="530"/>
      <c r="K890" s="530"/>
      <c r="L890" s="530"/>
      <c r="M890" s="530"/>
      <c r="N890" s="530"/>
      <c r="O890" s="530"/>
      <c r="P890" s="530"/>
      <c r="Q890" s="530"/>
      <c r="R890" s="530"/>
      <c r="S890" s="530"/>
      <c r="T890" s="530">
        <v>7113</v>
      </c>
      <c r="U890" s="530" t="s">
        <v>58</v>
      </c>
    </row>
    <row r="891" spans="1:21" ht="13.8" x14ac:dyDescent="0.3">
      <c r="A891" s="530" t="str">
        <f t="shared" si="18"/>
        <v>Conwy.2021.Accommodation - Bed Spaces.Non-Serviced Accommodation 4</v>
      </c>
      <c r="B891" s="530" t="s">
        <v>219</v>
      </c>
      <c r="C891" s="530" t="str">
        <f t="shared" si="19"/>
        <v>2021.Accommodation - Bed Spaces.Non-Serviced Accommodation 4</v>
      </c>
      <c r="D891" s="530" t="s">
        <v>241</v>
      </c>
      <c r="E891" s="530" t="s">
        <v>164</v>
      </c>
      <c r="F891" s="530" t="s">
        <v>159</v>
      </c>
      <c r="G891" s="530" t="s">
        <v>229</v>
      </c>
      <c r="H891" s="530"/>
      <c r="I891" s="530"/>
      <c r="J891" s="530"/>
      <c r="K891" s="530"/>
      <c r="L891" s="530"/>
      <c r="M891" s="530"/>
      <c r="N891" s="530"/>
      <c r="O891" s="530"/>
      <c r="P891" s="530"/>
      <c r="Q891" s="530"/>
      <c r="R891" s="530"/>
      <c r="S891" s="530"/>
      <c r="T891" s="530">
        <v>28317.686950009363</v>
      </c>
      <c r="U891" s="530" t="s">
        <v>58</v>
      </c>
    </row>
    <row r="892" spans="1:21" ht="13.8" x14ac:dyDescent="0.3">
      <c r="A892" s="530" t="str">
        <f t="shared" si="18"/>
        <v>Conwy.2021.Accommodation - Bed Spaces.Non-Serviced Accommodation 5</v>
      </c>
      <c r="B892" s="530" t="s">
        <v>219</v>
      </c>
      <c r="C892" s="530" t="str">
        <f t="shared" si="19"/>
        <v>2021.Accommodation - Bed Spaces.Non-Serviced Accommodation 5</v>
      </c>
      <c r="D892" s="530" t="s">
        <v>241</v>
      </c>
      <c r="E892" s="530" t="s">
        <v>164</v>
      </c>
      <c r="F892" s="530" t="s">
        <v>160</v>
      </c>
      <c r="G892" s="530" t="s">
        <v>237</v>
      </c>
      <c r="H892" s="530"/>
      <c r="I892" s="530"/>
      <c r="J892" s="530"/>
      <c r="K892" s="530"/>
      <c r="L892" s="530"/>
      <c r="M892" s="530"/>
      <c r="N892" s="530"/>
      <c r="O892" s="530"/>
      <c r="P892" s="530"/>
      <c r="Q892" s="530"/>
      <c r="R892" s="530"/>
      <c r="S892" s="530"/>
      <c r="T892" s="530">
        <v>3033.7319782405084</v>
      </c>
      <c r="U892" s="530" t="s">
        <v>58</v>
      </c>
    </row>
    <row r="893" spans="1:21" ht="13.8" x14ac:dyDescent="0.3">
      <c r="A893" s="530" t="str">
        <f t="shared" si="18"/>
        <v>Conwy.2021.Accommodation - Bed Spaces.Non-Serviced Accommodation Total</v>
      </c>
      <c r="B893" s="530" t="s">
        <v>219</v>
      </c>
      <c r="C893" s="530" t="str">
        <f t="shared" si="19"/>
        <v>2021.Accommodation - Bed Spaces.Non-Serviced Accommodation Total</v>
      </c>
      <c r="D893" s="530" t="s">
        <v>241</v>
      </c>
      <c r="E893" s="530" t="s">
        <v>164</v>
      </c>
      <c r="F893" s="530" t="s">
        <v>162</v>
      </c>
      <c r="G893" s="530" t="s">
        <v>230</v>
      </c>
      <c r="H893" s="530"/>
      <c r="I893" s="530"/>
      <c r="J893" s="530"/>
      <c r="K893" s="530"/>
      <c r="L893" s="530"/>
      <c r="M893" s="530"/>
      <c r="N893" s="530"/>
      <c r="O893" s="530"/>
      <c r="P893" s="530"/>
      <c r="Q893" s="530"/>
      <c r="R893" s="530"/>
      <c r="S893" s="530"/>
      <c r="T893" s="530">
        <v>50186.675996214675</v>
      </c>
      <c r="U893" s="530" t="s">
        <v>58</v>
      </c>
    </row>
    <row r="894" spans="1:21" ht="13.8" x14ac:dyDescent="0.3">
      <c r="A894" s="530" t="str">
        <f t="shared" si="18"/>
        <v>Conwy.2021.Accommodation - Bed Spaces.All Accommodation Types</v>
      </c>
      <c r="B894" s="530" t="s">
        <v>219</v>
      </c>
      <c r="C894" s="530" t="str">
        <f t="shared" si="19"/>
        <v>2021.Accommodation - Bed Spaces.All Accommodation Types</v>
      </c>
      <c r="D894" s="530" t="s">
        <v>241</v>
      </c>
      <c r="E894" s="530" t="s">
        <v>164</v>
      </c>
      <c r="F894" s="530" t="s">
        <v>163</v>
      </c>
      <c r="G894" s="530" t="s">
        <v>38</v>
      </c>
      <c r="H894" s="530"/>
      <c r="I894" s="530"/>
      <c r="J894" s="530"/>
      <c r="K894" s="530"/>
      <c r="L894" s="530"/>
      <c r="M894" s="530"/>
      <c r="N894" s="530"/>
      <c r="O894" s="530"/>
      <c r="P894" s="530"/>
      <c r="Q894" s="530"/>
      <c r="R894" s="530"/>
      <c r="S894" s="530"/>
      <c r="T894" s="530">
        <v>59479.675996214675</v>
      </c>
      <c r="U894" s="530" t="s">
        <v>58</v>
      </c>
    </row>
    <row r="895" spans="1:21" ht="13.8" x14ac:dyDescent="0.3">
      <c r="A895" s="530" t="str">
        <f t="shared" ref="A895" si="24">B895&amp;"."&amp;D895&amp;"."&amp;E895&amp;"."&amp;F895</f>
        <v>Conwy.2022.Accommodation - Establishments.Serviced Accommodation 1</v>
      </c>
      <c r="B895" s="530" t="s">
        <v>219</v>
      </c>
      <c r="C895" s="530" t="str">
        <f t="shared" ref="C895" si="25">D895&amp;"."&amp;E895&amp;"."&amp;F895</f>
        <v>2022.Accommodation - Establishments.Serviced Accommodation 1</v>
      </c>
      <c r="D895" s="530" t="s">
        <v>242</v>
      </c>
      <c r="E895" s="530" t="s">
        <v>150</v>
      </c>
      <c r="F895" s="530" t="s">
        <v>151</v>
      </c>
      <c r="G895" s="530" t="s">
        <v>221</v>
      </c>
      <c r="H895" s="530"/>
      <c r="I895" s="530"/>
      <c r="J895" s="530"/>
      <c r="K895" s="530"/>
      <c r="L895" s="530"/>
      <c r="M895" s="530"/>
      <c r="N895" s="530"/>
      <c r="O895" s="530"/>
      <c r="P895" s="530"/>
      <c r="Q895" s="530"/>
      <c r="R895" s="530"/>
      <c r="S895" s="530"/>
      <c r="T895" s="530">
        <v>22</v>
      </c>
      <c r="U895" s="530" t="s">
        <v>149</v>
      </c>
    </row>
    <row r="896" spans="1:21" ht="13.8" x14ac:dyDescent="0.3">
      <c r="A896" s="530" t="str">
        <f t="shared" ref="A896:A900" si="26">B896&amp;"."&amp;D896&amp;"."&amp;E896&amp;"."&amp;F896</f>
        <v>Conwy.2022.Accommodation - Establishments.Serviced Accommodation 2</v>
      </c>
      <c r="B896" s="530" t="s">
        <v>219</v>
      </c>
      <c r="C896" s="530" t="str">
        <f t="shared" ref="C896:C900" si="27">D896&amp;"."&amp;E896&amp;"."&amp;F896</f>
        <v>2022.Accommodation - Establishments.Serviced Accommodation 2</v>
      </c>
      <c r="D896" s="530" t="s">
        <v>242</v>
      </c>
      <c r="E896" s="530" t="s">
        <v>150</v>
      </c>
      <c r="F896" s="530" t="s">
        <v>152</v>
      </c>
      <c r="G896" s="530" t="s">
        <v>222</v>
      </c>
      <c r="H896" s="530"/>
      <c r="I896" s="530"/>
      <c r="J896" s="530"/>
      <c r="K896" s="530"/>
      <c r="L896" s="530"/>
      <c r="M896" s="530"/>
      <c r="N896" s="530"/>
      <c r="O896" s="530"/>
      <c r="P896" s="530"/>
      <c r="Q896" s="530"/>
      <c r="R896" s="530"/>
      <c r="S896" s="530"/>
      <c r="T896" s="530">
        <v>68</v>
      </c>
      <c r="U896" s="530" t="s">
        <v>149</v>
      </c>
    </row>
    <row r="897" spans="1:21" ht="13.8" x14ac:dyDescent="0.3">
      <c r="A897" s="530" t="str">
        <f t="shared" si="26"/>
        <v>Conwy.2022.Accommodation - Establishments.Serviced Accommodation 3</v>
      </c>
      <c r="B897" s="530" t="s">
        <v>219</v>
      </c>
      <c r="C897" s="530" t="str">
        <f t="shared" si="27"/>
        <v>2022.Accommodation - Establishments.Serviced Accommodation 3</v>
      </c>
      <c r="D897" s="530" t="s">
        <v>242</v>
      </c>
      <c r="E897" s="530" t="s">
        <v>150</v>
      </c>
      <c r="F897" s="530" t="s">
        <v>153</v>
      </c>
      <c r="G897" s="530" t="s">
        <v>223</v>
      </c>
      <c r="H897" s="530"/>
      <c r="I897" s="530"/>
      <c r="J897" s="530"/>
      <c r="K897" s="530"/>
      <c r="L897" s="530"/>
      <c r="M897" s="530"/>
      <c r="N897" s="530"/>
      <c r="O897" s="530"/>
      <c r="P897" s="530"/>
      <c r="Q897" s="530"/>
      <c r="R897" s="530"/>
      <c r="S897" s="530"/>
      <c r="T897" s="530">
        <v>227</v>
      </c>
      <c r="U897" s="530" t="s">
        <v>149</v>
      </c>
    </row>
    <row r="898" spans="1:21" ht="13.8" x14ac:dyDescent="0.3">
      <c r="A898" s="530" t="str">
        <f t="shared" si="26"/>
        <v>Conwy.2022.Accommodation - Establishments.Serviced Accommodation 4</v>
      </c>
      <c r="B898" s="530" t="s">
        <v>219</v>
      </c>
      <c r="C898" s="530" t="str">
        <f t="shared" si="27"/>
        <v>2022.Accommodation - Establishments.Serviced Accommodation 4</v>
      </c>
      <c r="D898" s="530" t="s">
        <v>242</v>
      </c>
      <c r="E898" s="530" t="s">
        <v>150</v>
      </c>
      <c r="F898" s="530" t="s">
        <v>154</v>
      </c>
      <c r="G898" s="530" t="s">
        <v>224</v>
      </c>
      <c r="H898" s="530"/>
      <c r="I898" s="530"/>
      <c r="J898" s="530"/>
      <c r="K898" s="530"/>
      <c r="L898" s="530"/>
      <c r="M898" s="530"/>
      <c r="N898" s="530"/>
      <c r="O898" s="530"/>
      <c r="P898" s="530"/>
      <c r="Q898" s="530"/>
      <c r="R898" s="530"/>
      <c r="S898" s="530"/>
      <c r="T898" s="530" t="s">
        <v>224</v>
      </c>
      <c r="U898" s="530" t="s">
        <v>149</v>
      </c>
    </row>
    <row r="899" spans="1:21" ht="13.8" x14ac:dyDescent="0.3">
      <c r="A899" s="530" t="str">
        <f t="shared" si="26"/>
        <v>Conwy.2022.Accommodation - Establishments.Serviced Accommodation 5</v>
      </c>
      <c r="B899" s="530" t="s">
        <v>219</v>
      </c>
      <c r="C899" s="530" t="str">
        <f t="shared" si="27"/>
        <v>2022.Accommodation - Establishments.Serviced Accommodation 5</v>
      </c>
      <c r="D899" s="530" t="s">
        <v>242</v>
      </c>
      <c r="E899" s="530" t="s">
        <v>150</v>
      </c>
      <c r="F899" s="530" t="s">
        <v>155</v>
      </c>
      <c r="G899" s="530" t="s">
        <v>224</v>
      </c>
      <c r="H899" s="530"/>
      <c r="I899" s="530"/>
      <c r="J899" s="530"/>
      <c r="K899" s="530"/>
      <c r="L899" s="530"/>
      <c r="M899" s="530"/>
      <c r="N899" s="530"/>
      <c r="O899" s="530"/>
      <c r="P899" s="530"/>
      <c r="Q899" s="530"/>
      <c r="R899" s="530"/>
      <c r="S899" s="530"/>
      <c r="T899" s="530" t="s">
        <v>224</v>
      </c>
      <c r="U899" s="530" t="s">
        <v>149</v>
      </c>
    </row>
    <row r="900" spans="1:21" ht="15" customHeight="1" x14ac:dyDescent="0.3">
      <c r="A900" s="530" t="str">
        <f t="shared" si="26"/>
        <v>Conwy.2022.Accommodation - Establishments.Serviced Accommodation Total</v>
      </c>
      <c r="B900" s="530" t="s">
        <v>219</v>
      </c>
      <c r="C900" s="530" t="str">
        <f t="shared" si="27"/>
        <v>2022.Accommodation - Establishments.Serviced Accommodation Total</v>
      </c>
      <c r="D900" s="530" t="s">
        <v>242</v>
      </c>
      <c r="E900" s="530" t="s">
        <v>150</v>
      </c>
      <c r="F900" s="530" t="s">
        <v>161</v>
      </c>
      <c r="G900" s="530" t="s">
        <v>225</v>
      </c>
      <c r="H900" s="530"/>
      <c r="I900" s="530"/>
      <c r="J900" s="530"/>
      <c r="K900" s="530"/>
      <c r="L900" s="530"/>
      <c r="M900" s="530"/>
      <c r="N900" s="530"/>
      <c r="O900" s="530"/>
      <c r="P900" s="530"/>
      <c r="Q900" s="530"/>
      <c r="R900" s="530"/>
      <c r="S900" s="530"/>
      <c r="T900" s="530">
        <v>317</v>
      </c>
      <c r="U900" s="530" t="s">
        <v>149</v>
      </c>
    </row>
    <row r="901" spans="1:21" ht="15" customHeight="1" x14ac:dyDescent="0.3">
      <c r="A901" s="530" t="str">
        <f t="shared" ref="A901:A913" si="28">B901&amp;"."&amp;D901&amp;"."&amp;E901&amp;"."&amp;F901</f>
        <v>Conwy.2022.Accommodation - Establishments.Non-Serviced Accommodation 1</v>
      </c>
      <c r="B901" s="530" t="s">
        <v>219</v>
      </c>
      <c r="C901" s="530" t="str">
        <f t="shared" ref="C901:C913" si="29">D901&amp;"."&amp;E901&amp;"."&amp;F901</f>
        <v>2022.Accommodation - Establishments.Non-Serviced Accommodation 1</v>
      </c>
      <c r="D901" s="530" t="s">
        <v>242</v>
      </c>
      <c r="E901" s="530" t="s">
        <v>150</v>
      </c>
      <c r="F901" s="530" t="s">
        <v>156</v>
      </c>
      <c r="G901" s="530" t="s">
        <v>226</v>
      </c>
      <c r="H901" s="530"/>
      <c r="I901" s="530"/>
      <c r="J901" s="530"/>
      <c r="K901" s="530"/>
      <c r="L901" s="530"/>
      <c r="M901" s="530"/>
      <c r="N901" s="530"/>
      <c r="O901" s="530"/>
      <c r="P901" s="530"/>
      <c r="Q901" s="530"/>
      <c r="R901" s="530"/>
      <c r="S901" s="530"/>
      <c r="T901" s="530">
        <v>770</v>
      </c>
      <c r="U901" s="530" t="s">
        <v>149</v>
      </c>
    </row>
    <row r="902" spans="1:21" ht="15" customHeight="1" x14ac:dyDescent="0.3">
      <c r="A902" s="530" t="str">
        <f t="shared" si="28"/>
        <v>Conwy.2022.Accommodation - Establishments.Non-Serviced Accommodation 2</v>
      </c>
      <c r="B902" s="530" t="s">
        <v>219</v>
      </c>
      <c r="C902" s="530" t="str">
        <f t="shared" si="29"/>
        <v>2022.Accommodation - Establishments.Non-Serviced Accommodation 2</v>
      </c>
      <c r="D902" s="530" t="s">
        <v>242</v>
      </c>
      <c r="E902" s="530" t="s">
        <v>150</v>
      </c>
      <c r="F902" s="530" t="s">
        <v>157</v>
      </c>
      <c r="G902" s="530" t="s">
        <v>227</v>
      </c>
      <c r="H902" s="530"/>
      <c r="I902" s="530"/>
      <c r="J902" s="530"/>
      <c r="K902" s="530"/>
      <c r="L902" s="530"/>
      <c r="M902" s="530"/>
      <c r="N902" s="530"/>
      <c r="O902" s="530"/>
      <c r="P902" s="530"/>
      <c r="Q902" s="530"/>
      <c r="R902" s="530"/>
      <c r="S902" s="530"/>
      <c r="T902" s="530">
        <v>88</v>
      </c>
      <c r="U902" s="530" t="s">
        <v>149</v>
      </c>
    </row>
    <row r="903" spans="1:21" ht="15" customHeight="1" x14ac:dyDescent="0.3">
      <c r="A903" s="530" t="str">
        <f t="shared" si="28"/>
        <v>Conwy.2022.Accommodation - Establishments.Non-Serviced Accommodation 3</v>
      </c>
      <c r="B903" s="530" t="s">
        <v>219</v>
      </c>
      <c r="C903" s="530" t="str">
        <f t="shared" si="29"/>
        <v>2022.Accommodation - Establishments.Non-Serviced Accommodation 3</v>
      </c>
      <c r="D903" s="530" t="s">
        <v>242</v>
      </c>
      <c r="E903" s="530" t="s">
        <v>150</v>
      </c>
      <c r="F903" s="530" t="s">
        <v>158</v>
      </c>
      <c r="G903" s="530" t="s">
        <v>228</v>
      </c>
      <c r="H903" s="530"/>
      <c r="I903" s="530"/>
      <c r="J903" s="530"/>
      <c r="K903" s="530"/>
      <c r="L903" s="530"/>
      <c r="M903" s="530"/>
      <c r="N903" s="530"/>
      <c r="O903" s="530"/>
      <c r="P903" s="530"/>
      <c r="Q903" s="530"/>
      <c r="R903" s="530"/>
      <c r="S903" s="530"/>
      <c r="T903" s="530">
        <v>58</v>
      </c>
      <c r="U903" s="530" t="s">
        <v>149</v>
      </c>
    </row>
    <row r="904" spans="1:21" ht="15" customHeight="1" x14ac:dyDescent="0.3">
      <c r="A904" s="530" t="str">
        <f t="shared" si="28"/>
        <v>Conwy.2022.Accommodation - Establishments.Non-Serviced Accommodation 4</v>
      </c>
      <c r="B904" s="530" t="s">
        <v>219</v>
      </c>
      <c r="C904" s="530" t="str">
        <f t="shared" si="29"/>
        <v>2022.Accommodation - Establishments.Non-Serviced Accommodation 4</v>
      </c>
      <c r="D904" s="530" t="s">
        <v>242</v>
      </c>
      <c r="E904" s="530" t="s">
        <v>150</v>
      </c>
      <c r="F904" s="530" t="s">
        <v>159</v>
      </c>
      <c r="G904" s="530" t="s">
        <v>229</v>
      </c>
      <c r="H904" s="530"/>
      <c r="I904" s="530"/>
      <c r="J904" s="530"/>
      <c r="K904" s="530"/>
      <c r="L904" s="530"/>
      <c r="M904" s="530"/>
      <c r="N904" s="530"/>
      <c r="O904" s="530"/>
      <c r="P904" s="530"/>
      <c r="Q904" s="530"/>
      <c r="R904" s="530"/>
      <c r="S904" s="530"/>
      <c r="T904" s="530">
        <v>0</v>
      </c>
      <c r="U904" s="530" t="s">
        <v>149</v>
      </c>
    </row>
    <row r="905" spans="1:21" ht="15" customHeight="1" x14ac:dyDescent="0.3">
      <c r="A905" s="530" t="str">
        <f t="shared" si="28"/>
        <v>Conwy.2022.Accommodation - Establishments.Non-Serviced Accommodation 5</v>
      </c>
      <c r="B905" s="530" t="s">
        <v>219</v>
      </c>
      <c r="C905" s="530" t="str">
        <f t="shared" si="29"/>
        <v>2022.Accommodation - Establishments.Non-Serviced Accommodation 5</v>
      </c>
      <c r="D905" s="530" t="s">
        <v>242</v>
      </c>
      <c r="E905" s="530" t="s">
        <v>150</v>
      </c>
      <c r="F905" s="530" t="s">
        <v>160</v>
      </c>
      <c r="G905" s="530" t="s">
        <v>237</v>
      </c>
      <c r="H905" s="530"/>
      <c r="I905" s="530"/>
      <c r="J905" s="530"/>
      <c r="K905" s="530"/>
      <c r="L905" s="530"/>
      <c r="M905" s="530"/>
      <c r="N905" s="530"/>
      <c r="O905" s="530"/>
      <c r="P905" s="530"/>
      <c r="Q905" s="530"/>
      <c r="R905" s="530"/>
      <c r="S905" s="530"/>
      <c r="T905" s="530">
        <v>0</v>
      </c>
      <c r="U905" s="530" t="s">
        <v>149</v>
      </c>
    </row>
    <row r="906" spans="1:21" ht="15" customHeight="1" x14ac:dyDescent="0.3">
      <c r="A906" s="530" t="str">
        <f t="shared" si="28"/>
        <v>Conwy.2022.Accommodation - Establishments.Non-Serviced Accommodation Total</v>
      </c>
      <c r="B906" s="530" t="s">
        <v>219</v>
      </c>
      <c r="C906" s="530" t="str">
        <f t="shared" si="29"/>
        <v>2022.Accommodation - Establishments.Non-Serviced Accommodation Total</v>
      </c>
      <c r="D906" s="530" t="s">
        <v>242</v>
      </c>
      <c r="E906" s="530" t="s">
        <v>150</v>
      </c>
      <c r="F906" s="530" t="s">
        <v>162</v>
      </c>
      <c r="G906" s="530" t="s">
        <v>230</v>
      </c>
      <c r="H906" s="530"/>
      <c r="I906" s="530"/>
      <c r="J906" s="530"/>
      <c r="K906" s="530"/>
      <c r="L906" s="530"/>
      <c r="M906" s="530"/>
      <c r="N906" s="530"/>
      <c r="O906" s="530"/>
      <c r="P906" s="530"/>
      <c r="Q906" s="530"/>
      <c r="R906" s="530"/>
      <c r="S906" s="530"/>
      <c r="T906" s="530">
        <v>916</v>
      </c>
      <c r="U906" s="530" t="s">
        <v>149</v>
      </c>
    </row>
    <row r="907" spans="1:21" ht="15" customHeight="1" x14ac:dyDescent="0.3">
      <c r="A907" s="530" t="str">
        <f t="shared" si="28"/>
        <v>Conwy.2022.Accommodation - Establishments.All Accommodation Types</v>
      </c>
      <c r="B907" s="530" t="s">
        <v>219</v>
      </c>
      <c r="C907" s="530" t="str">
        <f t="shared" si="29"/>
        <v>2022.Accommodation - Establishments.All Accommodation Types</v>
      </c>
      <c r="D907" s="530" t="s">
        <v>242</v>
      </c>
      <c r="E907" s="530" t="s">
        <v>150</v>
      </c>
      <c r="F907" s="530" t="s">
        <v>163</v>
      </c>
      <c r="G907" s="530" t="s">
        <v>38</v>
      </c>
      <c r="H907" s="530"/>
      <c r="I907" s="530"/>
      <c r="J907" s="530"/>
      <c r="K907" s="530"/>
      <c r="L907" s="530"/>
      <c r="M907" s="530"/>
      <c r="N907" s="530"/>
      <c r="O907" s="530"/>
      <c r="P907" s="530"/>
      <c r="Q907" s="530"/>
      <c r="R907" s="530"/>
      <c r="S907" s="530"/>
      <c r="T907" s="530">
        <v>1233</v>
      </c>
      <c r="U907" s="530" t="s">
        <v>149</v>
      </c>
    </row>
    <row r="908" spans="1:21" ht="13.8" x14ac:dyDescent="0.3">
      <c r="A908" s="530" t="str">
        <f t="shared" si="28"/>
        <v>Conwy.2022.Accommodation - Bed Spaces.Serviced Accommodation 1</v>
      </c>
      <c r="B908" s="530" t="s">
        <v>219</v>
      </c>
      <c r="C908" s="530" t="str">
        <f t="shared" si="29"/>
        <v>2022.Accommodation - Bed Spaces.Serviced Accommodation 1</v>
      </c>
      <c r="D908" s="530" t="s">
        <v>242</v>
      </c>
      <c r="E908" s="530" t="s">
        <v>164</v>
      </c>
      <c r="F908" s="530" t="s">
        <v>151</v>
      </c>
      <c r="G908" s="530" t="s">
        <v>221</v>
      </c>
      <c r="H908" s="530"/>
      <c r="I908" s="530"/>
      <c r="J908" s="530"/>
      <c r="K908" s="530"/>
      <c r="L908" s="530"/>
      <c r="M908" s="530"/>
      <c r="N908" s="530"/>
      <c r="O908" s="530"/>
      <c r="P908" s="530"/>
      <c r="Q908" s="530"/>
      <c r="R908" s="530"/>
      <c r="S908" s="530"/>
      <c r="T908" s="530">
        <v>3535</v>
      </c>
      <c r="U908" s="530" t="s">
        <v>58</v>
      </c>
    </row>
    <row r="909" spans="1:21" ht="13.8" x14ac:dyDescent="0.3">
      <c r="A909" s="530" t="str">
        <f t="shared" si="28"/>
        <v>Conwy.2022.Accommodation - Bed Spaces.Serviced Accommodation 2</v>
      </c>
      <c r="B909" s="530" t="s">
        <v>219</v>
      </c>
      <c r="C909" s="530" t="str">
        <f t="shared" si="29"/>
        <v>2022.Accommodation - Bed Spaces.Serviced Accommodation 2</v>
      </c>
      <c r="D909" s="530" t="s">
        <v>242</v>
      </c>
      <c r="E909" s="530" t="s">
        <v>164</v>
      </c>
      <c r="F909" s="530" t="s">
        <v>152</v>
      </c>
      <c r="G909" s="530" t="s">
        <v>222</v>
      </c>
      <c r="H909" s="530"/>
      <c r="I909" s="530"/>
      <c r="J909" s="530"/>
      <c r="K909" s="530"/>
      <c r="L909" s="530"/>
      <c r="M909" s="530"/>
      <c r="N909" s="530"/>
      <c r="O909" s="530"/>
      <c r="P909" s="530"/>
      <c r="Q909" s="530"/>
      <c r="R909" s="530"/>
      <c r="S909" s="530"/>
      <c r="T909" s="530">
        <v>3022</v>
      </c>
      <c r="U909" s="530" t="s">
        <v>58</v>
      </c>
    </row>
    <row r="910" spans="1:21" ht="13.8" x14ac:dyDescent="0.3">
      <c r="A910" s="530" t="str">
        <f t="shared" si="28"/>
        <v>Conwy.2022.Accommodation - Bed Spaces.Serviced Accommodation 3</v>
      </c>
      <c r="B910" s="530" t="s">
        <v>219</v>
      </c>
      <c r="C910" s="530" t="str">
        <f t="shared" si="29"/>
        <v>2022.Accommodation - Bed Spaces.Serviced Accommodation 3</v>
      </c>
      <c r="D910" s="530" t="s">
        <v>242</v>
      </c>
      <c r="E910" s="530" t="s">
        <v>164</v>
      </c>
      <c r="F910" s="530" t="s">
        <v>153</v>
      </c>
      <c r="G910" s="530" t="s">
        <v>223</v>
      </c>
      <c r="H910" s="530"/>
      <c r="I910" s="530"/>
      <c r="J910" s="530"/>
      <c r="K910" s="530"/>
      <c r="L910" s="530"/>
      <c r="M910" s="530"/>
      <c r="N910" s="530"/>
      <c r="O910" s="530"/>
      <c r="P910" s="530"/>
      <c r="Q910" s="530"/>
      <c r="R910" s="530"/>
      <c r="S910" s="530"/>
      <c r="T910" s="530">
        <v>2736</v>
      </c>
      <c r="U910" s="530" t="s">
        <v>58</v>
      </c>
    </row>
    <row r="911" spans="1:21" ht="13.8" x14ac:dyDescent="0.3">
      <c r="A911" s="530" t="str">
        <f t="shared" si="28"/>
        <v>Conwy.2022.Accommodation - Bed Spaces.Serviced Accommodation 4</v>
      </c>
      <c r="B911" s="530" t="s">
        <v>219</v>
      </c>
      <c r="C911" s="530" t="str">
        <f t="shared" si="29"/>
        <v>2022.Accommodation - Bed Spaces.Serviced Accommodation 4</v>
      </c>
      <c r="D911" s="530" t="s">
        <v>242</v>
      </c>
      <c r="E911" s="530" t="s">
        <v>164</v>
      </c>
      <c r="F911" s="530" t="s">
        <v>154</v>
      </c>
      <c r="G911" s="530" t="s">
        <v>224</v>
      </c>
      <c r="H911" s="530"/>
      <c r="I911" s="530"/>
      <c r="J911" s="530"/>
      <c r="K911" s="530"/>
      <c r="L911" s="530"/>
      <c r="M911" s="530"/>
      <c r="N911" s="530"/>
      <c r="O911" s="530"/>
      <c r="P911" s="530"/>
      <c r="Q911" s="530"/>
      <c r="R911" s="530"/>
      <c r="S911" s="530"/>
      <c r="T911" s="530" t="s">
        <v>224</v>
      </c>
      <c r="U911" s="530" t="s">
        <v>58</v>
      </c>
    </row>
    <row r="912" spans="1:21" ht="13.8" x14ac:dyDescent="0.3">
      <c r="A912" s="530" t="str">
        <f t="shared" si="28"/>
        <v>Conwy.2022.Accommodation - Bed Spaces.Serviced Accommodation 5</v>
      </c>
      <c r="B912" s="530" t="s">
        <v>219</v>
      </c>
      <c r="C912" s="530" t="str">
        <f t="shared" si="29"/>
        <v>2022.Accommodation - Bed Spaces.Serviced Accommodation 5</v>
      </c>
      <c r="D912" s="530" t="s">
        <v>242</v>
      </c>
      <c r="E912" s="530" t="s">
        <v>164</v>
      </c>
      <c r="F912" s="530" t="s">
        <v>155</v>
      </c>
      <c r="G912" s="530" t="s">
        <v>224</v>
      </c>
      <c r="H912" s="530"/>
      <c r="I912" s="530"/>
      <c r="J912" s="530"/>
      <c r="K912" s="530"/>
      <c r="L912" s="530"/>
      <c r="M912" s="530"/>
      <c r="N912" s="530"/>
      <c r="O912" s="530"/>
      <c r="P912" s="530"/>
      <c r="Q912" s="530"/>
      <c r="R912" s="530"/>
      <c r="S912" s="530"/>
      <c r="T912" s="530" t="s">
        <v>224</v>
      </c>
      <c r="U912" s="530" t="s">
        <v>58</v>
      </c>
    </row>
    <row r="913" spans="1:21" ht="13.8" x14ac:dyDescent="0.3">
      <c r="A913" s="530" t="str">
        <f t="shared" si="28"/>
        <v>Conwy.2022.Accommodation - Bed Spaces.Serviced Accommodation Total</v>
      </c>
      <c r="B913" s="530" t="s">
        <v>219</v>
      </c>
      <c r="C913" s="530" t="str">
        <f t="shared" si="29"/>
        <v>2022.Accommodation - Bed Spaces.Serviced Accommodation Total</v>
      </c>
      <c r="D913" s="530" t="s">
        <v>242</v>
      </c>
      <c r="E913" s="530" t="s">
        <v>164</v>
      </c>
      <c r="F913" s="530" t="s">
        <v>161</v>
      </c>
      <c r="G913" s="530" t="s">
        <v>225</v>
      </c>
      <c r="H913" s="530"/>
      <c r="I913" s="530"/>
      <c r="J913" s="530"/>
      <c r="K913" s="530"/>
      <c r="L913" s="530"/>
      <c r="M913" s="530"/>
      <c r="N913" s="530"/>
      <c r="O913" s="530"/>
      <c r="P913" s="530"/>
      <c r="Q913" s="530"/>
      <c r="R913" s="530"/>
      <c r="S913" s="530"/>
      <c r="T913" s="530">
        <v>9293</v>
      </c>
      <c r="U913" s="530" t="s">
        <v>58</v>
      </c>
    </row>
    <row r="914" spans="1:21" ht="13.8" x14ac:dyDescent="0.3">
      <c r="A914" s="530" t="str">
        <f t="shared" ref="A914:A926" si="30">B914&amp;"."&amp;D914&amp;"."&amp;E914&amp;"."&amp;F914</f>
        <v>Conwy.2022.Accommodation - Bed Spaces.Non-Serviced Accommodation 1</v>
      </c>
      <c r="B914" s="530" t="s">
        <v>219</v>
      </c>
      <c r="C914" s="530" t="str">
        <f t="shared" ref="C914:C926" si="31">D914&amp;"."&amp;E914&amp;"."&amp;F914</f>
        <v>2022.Accommodation - Bed Spaces.Non-Serviced Accommodation 1</v>
      </c>
      <c r="D914" s="530" t="s">
        <v>242</v>
      </c>
      <c r="E914" s="530" t="s">
        <v>164</v>
      </c>
      <c r="F914" s="530" t="s">
        <v>156</v>
      </c>
      <c r="G914" s="530" t="s">
        <v>226</v>
      </c>
      <c r="H914" s="530"/>
      <c r="I914" s="530"/>
      <c r="J914" s="530"/>
      <c r="K914" s="530"/>
      <c r="L914" s="530"/>
      <c r="M914" s="530"/>
      <c r="N914" s="530"/>
      <c r="O914" s="530"/>
      <c r="P914" s="530"/>
      <c r="Q914" s="530"/>
      <c r="R914" s="530"/>
      <c r="S914" s="530"/>
      <c r="T914" s="530">
        <v>4827</v>
      </c>
      <c r="U914" s="530" t="s">
        <v>58</v>
      </c>
    </row>
    <row r="915" spans="1:21" ht="13.8" x14ac:dyDescent="0.3">
      <c r="A915" s="530" t="str">
        <f t="shared" si="30"/>
        <v>Conwy.2022.Accommodation - Bed Spaces.Non-Serviced Accommodation 2</v>
      </c>
      <c r="B915" s="530" t="s">
        <v>219</v>
      </c>
      <c r="C915" s="530" t="str">
        <f t="shared" si="31"/>
        <v>2022.Accommodation - Bed Spaces.Non-Serviced Accommodation 2</v>
      </c>
      <c r="D915" s="530" t="s">
        <v>242</v>
      </c>
      <c r="E915" s="530" t="s">
        <v>164</v>
      </c>
      <c r="F915" s="530" t="s">
        <v>157</v>
      </c>
      <c r="G915" s="530" t="s">
        <v>227</v>
      </c>
      <c r="H915" s="530"/>
      <c r="I915" s="530"/>
      <c r="J915" s="530"/>
      <c r="K915" s="530"/>
      <c r="L915" s="530"/>
      <c r="M915" s="530"/>
      <c r="N915" s="530"/>
      <c r="O915" s="530"/>
      <c r="P915" s="530"/>
      <c r="Q915" s="530"/>
      <c r="R915" s="530"/>
      <c r="S915" s="530"/>
      <c r="T915" s="530">
        <v>6895.2570679648015</v>
      </c>
      <c r="U915" s="530" t="s">
        <v>58</v>
      </c>
    </row>
    <row r="916" spans="1:21" ht="13.8" x14ac:dyDescent="0.3">
      <c r="A916" s="530" t="str">
        <f t="shared" si="30"/>
        <v>Conwy.2022.Accommodation - Bed Spaces.Non-Serviced Accommodation 3</v>
      </c>
      <c r="B916" s="530" t="s">
        <v>219</v>
      </c>
      <c r="C916" s="530" t="str">
        <f t="shared" si="31"/>
        <v>2022.Accommodation - Bed Spaces.Non-Serviced Accommodation 3</v>
      </c>
      <c r="D916" s="530" t="s">
        <v>242</v>
      </c>
      <c r="E916" s="530" t="s">
        <v>164</v>
      </c>
      <c r="F916" s="530" t="s">
        <v>158</v>
      </c>
      <c r="G916" s="530" t="s">
        <v>228</v>
      </c>
      <c r="H916" s="530"/>
      <c r="I916" s="530"/>
      <c r="J916" s="530"/>
      <c r="K916" s="530"/>
      <c r="L916" s="530"/>
      <c r="M916" s="530"/>
      <c r="N916" s="530"/>
      <c r="O916" s="530"/>
      <c r="P916" s="530"/>
      <c r="Q916" s="530"/>
      <c r="R916" s="530"/>
      <c r="S916" s="530"/>
      <c r="T916" s="530">
        <v>7113</v>
      </c>
      <c r="U916" s="530" t="s">
        <v>58</v>
      </c>
    </row>
    <row r="917" spans="1:21" ht="13.8" x14ac:dyDescent="0.3">
      <c r="A917" s="530" t="str">
        <f t="shared" si="30"/>
        <v>Conwy.2022.Accommodation - Bed Spaces.Non-Serviced Accommodation 4</v>
      </c>
      <c r="B917" s="530" t="s">
        <v>219</v>
      </c>
      <c r="C917" s="530" t="str">
        <f t="shared" si="31"/>
        <v>2022.Accommodation - Bed Spaces.Non-Serviced Accommodation 4</v>
      </c>
      <c r="D917" s="530" t="s">
        <v>242</v>
      </c>
      <c r="E917" s="530" t="s">
        <v>164</v>
      </c>
      <c r="F917" s="530" t="s">
        <v>159</v>
      </c>
      <c r="G917" s="530" t="s">
        <v>229</v>
      </c>
      <c r="H917" s="530"/>
      <c r="I917" s="530"/>
      <c r="J917" s="530"/>
      <c r="K917" s="530"/>
      <c r="L917" s="530"/>
      <c r="M917" s="530"/>
      <c r="N917" s="530"/>
      <c r="O917" s="530"/>
      <c r="P917" s="530"/>
      <c r="Q917" s="530"/>
      <c r="R917" s="530"/>
      <c r="S917" s="530"/>
      <c r="T917" s="530">
        <v>28317.686950009363</v>
      </c>
      <c r="U917" s="530" t="s">
        <v>58</v>
      </c>
    </row>
    <row r="918" spans="1:21" ht="13.8" x14ac:dyDescent="0.3">
      <c r="A918" s="530" t="str">
        <f t="shared" si="30"/>
        <v>Conwy.2022.Accommodation - Bed Spaces.Non-Serviced Accommodation 5</v>
      </c>
      <c r="B918" s="530" t="s">
        <v>219</v>
      </c>
      <c r="C918" s="530" t="str">
        <f t="shared" si="31"/>
        <v>2022.Accommodation - Bed Spaces.Non-Serviced Accommodation 5</v>
      </c>
      <c r="D918" s="530" t="s">
        <v>242</v>
      </c>
      <c r="E918" s="530" t="s">
        <v>164</v>
      </c>
      <c r="F918" s="530" t="s">
        <v>160</v>
      </c>
      <c r="G918" s="530" t="s">
        <v>237</v>
      </c>
      <c r="H918" s="530"/>
      <c r="I918" s="530"/>
      <c r="J918" s="530"/>
      <c r="K918" s="530"/>
      <c r="L918" s="530"/>
      <c r="M918" s="530"/>
      <c r="N918" s="530"/>
      <c r="O918" s="530"/>
      <c r="P918" s="530"/>
      <c r="Q918" s="530"/>
      <c r="R918" s="530"/>
      <c r="S918" s="530"/>
      <c r="T918" s="530">
        <v>3810.0235698905744</v>
      </c>
      <c r="U918" s="530" t="s">
        <v>58</v>
      </c>
    </row>
    <row r="919" spans="1:21" ht="13.8" x14ac:dyDescent="0.3">
      <c r="A919" s="530" t="str">
        <f t="shared" si="30"/>
        <v>Conwy.2022.Accommodation - Bed Spaces.Non-Serviced Accommodation Total</v>
      </c>
      <c r="B919" s="530" t="s">
        <v>219</v>
      </c>
      <c r="C919" s="530" t="str">
        <f t="shared" si="31"/>
        <v>2022.Accommodation - Bed Spaces.Non-Serviced Accommodation Total</v>
      </c>
      <c r="D919" s="530" t="s">
        <v>242</v>
      </c>
      <c r="E919" s="530" t="s">
        <v>164</v>
      </c>
      <c r="F919" s="530" t="s">
        <v>162</v>
      </c>
      <c r="G919" s="530" t="s">
        <v>230</v>
      </c>
      <c r="H919" s="530"/>
      <c r="I919" s="530"/>
      <c r="J919" s="530"/>
      <c r="K919" s="530"/>
      <c r="L919" s="530"/>
      <c r="M919" s="530"/>
      <c r="N919" s="530"/>
      <c r="O919" s="530"/>
      <c r="P919" s="530"/>
      <c r="Q919" s="530"/>
      <c r="R919" s="530"/>
      <c r="S919" s="530"/>
      <c r="T919" s="530">
        <v>50962.967587864739</v>
      </c>
      <c r="U919" s="530" t="s">
        <v>58</v>
      </c>
    </row>
    <row r="920" spans="1:21" ht="13.8" x14ac:dyDescent="0.3">
      <c r="A920" s="530" t="str">
        <f t="shared" si="30"/>
        <v>Conwy.2022.Accommodation - Bed Spaces.All Accommodation Types</v>
      </c>
      <c r="B920" s="530" t="s">
        <v>219</v>
      </c>
      <c r="C920" s="530" t="str">
        <f t="shared" si="31"/>
        <v>2022.Accommodation - Bed Spaces.All Accommodation Types</v>
      </c>
      <c r="D920" s="530" t="s">
        <v>242</v>
      </c>
      <c r="E920" s="530" t="s">
        <v>164</v>
      </c>
      <c r="F920" s="530" t="s">
        <v>163</v>
      </c>
      <c r="G920" s="530" t="s">
        <v>38</v>
      </c>
      <c r="H920" s="530"/>
      <c r="I920" s="530"/>
      <c r="J920" s="530"/>
      <c r="K920" s="530"/>
      <c r="L920" s="530"/>
      <c r="M920" s="530"/>
      <c r="N920" s="530"/>
      <c r="O920" s="530"/>
      <c r="P920" s="530"/>
      <c r="Q920" s="530"/>
      <c r="R920" s="530"/>
      <c r="S920" s="530"/>
      <c r="T920" s="530">
        <v>60255.967587864739</v>
      </c>
      <c r="U920" s="530" t="s">
        <v>58</v>
      </c>
    </row>
    <row r="921" spans="1:21" ht="12.75" customHeight="1" x14ac:dyDescent="0.3">
      <c r="A921" s="530" t="str">
        <f t="shared" si="30"/>
        <v>Conwy.2011.Economic Impact.Staying Visitor</v>
      </c>
      <c r="B921" s="530" t="s">
        <v>219</v>
      </c>
      <c r="C921" s="530" t="str">
        <f t="shared" si="31"/>
        <v>2011.Economic Impact.Staying Visitor</v>
      </c>
      <c r="D921" s="530" t="s">
        <v>220</v>
      </c>
      <c r="E921" s="530" t="s">
        <v>17</v>
      </c>
      <c r="F921" s="530" t="s">
        <v>140</v>
      </c>
      <c r="G921" s="530" t="s">
        <v>140</v>
      </c>
      <c r="H921" s="530">
        <f>SUM(SUMIFS(H:H,$D:$D,$D921,$E:$E,$E921,$F:$F,{"Serviced Accommodation","Non-Serviced Accommodation","SFR"}))</f>
        <v>8529.9402190491273</v>
      </c>
      <c r="I921" s="530">
        <f>SUM(SUMIFS(I:I,$D:$D,$D921,$E:$E,$E921,$F:$F,{"Serviced Accommodation","Non-Serviced Accommodation","SFR"}))</f>
        <v>11865.499042333053</v>
      </c>
      <c r="J921" s="530">
        <f>SUM(SUMIFS(J:J,$D:$D,$D921,$E:$E,$E921,$F:$F,{"Serviced Accommodation","Non-Serviced Accommodation","SFR"}))</f>
        <v>27518.992515942929</v>
      </c>
      <c r="K921" s="530">
        <f>SUM(SUMIFS(K:K,$D:$D,$D921,$E:$E,$E921,$F:$F,{"Serviced Accommodation","Non-Serviced Accommodation","SFR"}))</f>
        <v>38990.054173482036</v>
      </c>
      <c r="L921" s="530">
        <f>SUM(SUMIFS(L:L,$D:$D,$D921,$E:$E,$E921,$F:$F,{"Serviced Accommodation","Non-Serviced Accommodation","SFR"}))</f>
        <v>42257.56233517699</v>
      </c>
      <c r="M921" s="530">
        <f>SUM(SUMIFS(M:M,$D:$D,$D921,$E:$E,$E921,$F:$F,{"Serviced Accommodation","Non-Serviced Accommodation","SFR"}))</f>
        <v>42416.168786597322</v>
      </c>
      <c r="N921" s="530">
        <f>SUM(SUMIFS(N:N,$D:$D,$D921,$E:$E,$E921,$F:$F,{"Serviced Accommodation","Non-Serviced Accommodation","SFR"}))</f>
        <v>56183.148788891209</v>
      </c>
      <c r="O921" s="530">
        <f>SUM(SUMIFS(O:O,$D:$D,$D921,$E:$E,$E921,$F:$F,{"Serviced Accommodation","Non-Serviced Accommodation","SFR"}))</f>
        <v>62251.175446095891</v>
      </c>
      <c r="P921" s="530">
        <f>SUM(SUMIFS(P:P,$D:$D,$D921,$E:$E,$E921,$F:$F,{"Serviced Accommodation","Non-Serviced Accommodation","SFR"}))</f>
        <v>46936.559072909949</v>
      </c>
      <c r="Q921" s="530">
        <f>SUM(SUMIFS(Q:Q,$D:$D,$D921,$E:$E,$E921,$F:$F,{"Serviced Accommodation","Non-Serviced Accommodation","SFR"}))</f>
        <v>36462.891150406438</v>
      </c>
      <c r="R921" s="530">
        <f>SUM(SUMIFS(R:R,$D:$D,$D921,$E:$E,$E921,$F:$F,{"Serviced Accommodation","Non-Serviced Accommodation","SFR"}))</f>
        <v>16090.000690638124</v>
      </c>
      <c r="S921" s="530">
        <f>SUM(SUMIFS(S:S,$D:$D,$D921,$E:$E,$E921,$F:$F,{"Serviced Accommodation","Non-Serviced Accommodation","SFR"}))</f>
        <v>12768.997416838813</v>
      </c>
      <c r="T921" s="530">
        <f>SUM(SUMIFS(T:T,$D:$D,$D921,$E:$E,$E921,$F:$F,{"Serviced Accommodation","Non-Serviced Accommodation","SFR"}))</f>
        <v>402270.98963836185</v>
      </c>
      <c r="U921" s="530" t="s">
        <v>57</v>
      </c>
    </row>
    <row r="922" spans="1:21" ht="12.75" customHeight="1" x14ac:dyDescent="0.3">
      <c r="A922" s="530" t="str">
        <f t="shared" si="30"/>
        <v>Conwy.2011.Employment.Staying Visitor</v>
      </c>
      <c r="B922" s="530" t="s">
        <v>219</v>
      </c>
      <c r="C922" s="530" t="str">
        <f t="shared" si="31"/>
        <v>2011.Employment.Staying Visitor</v>
      </c>
      <c r="D922" s="530" t="s">
        <v>220</v>
      </c>
      <c r="E922" s="530" t="s">
        <v>20</v>
      </c>
      <c r="F922" s="530" t="s">
        <v>140</v>
      </c>
      <c r="G922" s="530" t="s">
        <v>140</v>
      </c>
      <c r="H922" s="530">
        <f>SUM(SUMIFS(H:H,$D:$D,$D922,$E:$E,$E922,$F:$F,{"Serviced Accommodation","Non-Serviced Accommodation","SFR"}))</f>
        <v>2915.6837181549913</v>
      </c>
      <c r="I922" s="530">
        <f>SUM(SUMIFS(I:I,$D:$D,$D922,$E:$E,$E922,$F:$F,{"Serviced Accommodation","Non-Serviced Accommodation","SFR"}))</f>
        <v>3331.1120728835499</v>
      </c>
      <c r="J922" s="530">
        <f>SUM(SUMIFS(J:J,$D:$D,$D922,$E:$E,$E922,$F:$F,{"Serviced Accommodation","Non-Serviced Accommodation","SFR"}))</f>
        <v>5817.25941345911</v>
      </c>
      <c r="K922" s="530">
        <f>SUM(SUMIFS(K:K,$D:$D,$D922,$E:$E,$E922,$F:$F,{"Serviced Accommodation","Non-Serviced Accommodation","SFR"}))</f>
        <v>7249.3274439869838</v>
      </c>
      <c r="L922" s="530">
        <f>SUM(SUMIFS(L:L,$D:$D,$D922,$E:$E,$E922,$F:$F,{"Serviced Accommodation","Non-Serviced Accommodation","SFR"}))</f>
        <v>7622.839501087341</v>
      </c>
      <c r="M922" s="530">
        <f>SUM(SUMIFS(M:M,$D:$D,$D922,$E:$E,$E922,$F:$F,{"Serviced Accommodation","Non-Serviced Accommodation","SFR"}))</f>
        <v>7654.7533546582745</v>
      </c>
      <c r="N922" s="530">
        <f>SUM(SUMIFS(N:N,$D:$D,$D922,$E:$E,$E922,$F:$F,{"Serviced Accommodation","Non-Serviced Accommodation","SFR"}))</f>
        <v>8691.4459598552967</v>
      </c>
      <c r="O922" s="530">
        <f>SUM(SUMIFS(O:O,$D:$D,$D922,$E:$E,$E922,$F:$F,{"Serviced Accommodation","Non-Serviced Accommodation","SFR"}))</f>
        <v>9178.0797370410874</v>
      </c>
      <c r="P922" s="530">
        <f>SUM(SUMIFS(P:P,$D:$D,$D922,$E:$E,$E922,$F:$F,{"Serviced Accommodation","Non-Serviced Accommodation","SFR"}))</f>
        <v>7534.3570930448459</v>
      </c>
      <c r="Q922" s="530">
        <f>SUM(SUMIFS(Q:Q,$D:$D,$D922,$E:$E,$E922,$F:$F,{"Serviced Accommodation","Non-Serviced Accommodation","SFR"}))</f>
        <v>6746.4893513147917</v>
      </c>
      <c r="R922" s="530">
        <f>SUM(SUMIFS(R:R,$D:$D,$D922,$E:$E,$E922,$F:$F,{"Serviced Accommodation","Non-Serviced Accommodation","SFR"}))</f>
        <v>3857.4199959421621</v>
      </c>
      <c r="S922" s="530">
        <f>SUM(SUMIFS(S:S,$D:$D,$D922,$E:$E,$E922,$F:$F,{"Serviced Accommodation","Non-Serviced Accommodation","SFR"}))</f>
        <v>3513.1543529007308</v>
      </c>
      <c r="T922" s="530">
        <f>SUM(SUMIFS(T:T,$D:$D,$D922,$E:$E,$E922,$F:$F,{"Serviced Accommodation","Non-Serviced Accommodation","SFR"}))</f>
        <v>6175.9934995274298</v>
      </c>
      <c r="U922" s="530" t="s">
        <v>59</v>
      </c>
    </row>
    <row r="923" spans="1:21" ht="12.75" customHeight="1" x14ac:dyDescent="0.3">
      <c r="A923" s="530" t="str">
        <f t="shared" si="30"/>
        <v>Conwy.2011.Visitor Days.Staying Visitor</v>
      </c>
      <c r="B923" s="530" t="s">
        <v>219</v>
      </c>
      <c r="C923" s="530" t="str">
        <f t="shared" si="31"/>
        <v>2011.Visitor Days.Staying Visitor</v>
      </c>
      <c r="D923" s="530" t="s">
        <v>220</v>
      </c>
      <c r="E923" s="530" t="s">
        <v>171</v>
      </c>
      <c r="F923" s="530" t="s">
        <v>140</v>
      </c>
      <c r="G923" s="530" t="s">
        <v>140</v>
      </c>
      <c r="H923" s="530">
        <f>SUM(SUMIFS(H:H,$D:$D,$D923,$E:$E,$E923,$F:$F,{"Serviced Accommodation","Non-Serviced Accommodation","SFR"}))</f>
        <v>173.45783101365907</v>
      </c>
      <c r="I923" s="530">
        <f>SUM(SUMIFS(I:I,$D:$D,$D923,$E:$E,$E923,$F:$F,{"Serviced Accommodation","Non-Serviced Accommodation","SFR"}))</f>
        <v>198.46691840593067</v>
      </c>
      <c r="J923" s="530">
        <f>SUM(SUMIFS(J:J,$D:$D,$D923,$E:$E,$E923,$F:$F,{"Serviced Accommodation","Non-Serviced Accommodation","SFR"}))</f>
        <v>639.81694565360135</v>
      </c>
      <c r="K923" s="530">
        <f>SUM(SUMIFS(K:K,$D:$D,$D923,$E:$E,$E923,$F:$F,{"Serviced Accommodation","Non-Serviced Accommodation","SFR"}))</f>
        <v>907.48644169319402</v>
      </c>
      <c r="L923" s="530">
        <f>SUM(SUMIFS(L:L,$D:$D,$D923,$E:$E,$E923,$F:$F,{"Serviced Accommodation","Non-Serviced Accommodation","SFR"}))</f>
        <v>1002.9811786069359</v>
      </c>
      <c r="M923" s="530">
        <f>SUM(SUMIFS(M:M,$D:$D,$D923,$E:$E,$E923,$F:$F,{"Serviced Accommodation","Non-Serviced Accommodation","SFR"}))</f>
        <v>996.4541943071755</v>
      </c>
      <c r="N923" s="530">
        <f>SUM(SUMIFS(N:N,$D:$D,$D923,$E:$E,$E923,$F:$F,{"Serviced Accommodation","Non-Serviced Accommodation","SFR"}))</f>
        <v>1258.939476489998</v>
      </c>
      <c r="O923" s="530">
        <f>SUM(SUMIFS(O:O,$D:$D,$D923,$E:$E,$E923,$F:$F,{"Serviced Accommodation","Non-Serviced Accommodation","SFR"}))</f>
        <v>1362.8323851459575</v>
      </c>
      <c r="P923" s="530">
        <f>SUM(SUMIFS(P:P,$D:$D,$D923,$E:$E,$E923,$F:$F,{"Serviced Accommodation","Non-Serviced Accommodation","SFR"}))</f>
        <v>967.50898958643813</v>
      </c>
      <c r="Q923" s="530">
        <f>SUM(SUMIFS(Q:Q,$D:$D,$D923,$E:$E,$E923,$F:$F,{"Serviced Accommodation","Non-Serviced Accommodation","SFR"}))</f>
        <v>814.92728919104445</v>
      </c>
      <c r="R923" s="530">
        <f>SUM(SUMIFS(R:R,$D:$D,$D923,$E:$E,$E923,$F:$F,{"Serviced Accommodation","Non-Serviced Accommodation","SFR"}))</f>
        <v>275.51269198340623</v>
      </c>
      <c r="S923" s="530">
        <f>SUM(SUMIFS(S:S,$D:$D,$D923,$E:$E,$E923,$F:$F,{"Serviced Accommodation","Non-Serviced Accommodation","SFR"}))</f>
        <v>234.4882836336489</v>
      </c>
      <c r="T923" s="530">
        <f>SUM(SUMIFS(T:T,$D:$D,$D923,$E:$E,$E923,$F:$F,{"Serviced Accommodation","Non-Serviced Accommodation","SFR"}))</f>
        <v>8832.8726257109902</v>
      </c>
      <c r="U923" s="530" t="s">
        <v>61</v>
      </c>
    </row>
    <row r="924" spans="1:21" ht="12.75" customHeight="1" x14ac:dyDescent="0.3">
      <c r="A924" s="530" t="str">
        <f t="shared" si="30"/>
        <v>Conwy.2011.Visitor Numbers.Staying Visitor</v>
      </c>
      <c r="B924" s="530" t="s">
        <v>219</v>
      </c>
      <c r="C924" s="530" t="str">
        <f t="shared" si="31"/>
        <v>2011.Visitor Numbers.Staying Visitor</v>
      </c>
      <c r="D924" s="530" t="s">
        <v>220</v>
      </c>
      <c r="E924" s="530" t="s">
        <v>172</v>
      </c>
      <c r="F924" s="530" t="s">
        <v>140</v>
      </c>
      <c r="G924" s="530" t="s">
        <v>140</v>
      </c>
      <c r="H924" s="530">
        <f>SUM(SUMIFS(H:H,$D:$D,$D924,$E:$E,$E924,$F:$F,{"Serviced Accommodation","Non-Serviced Accommodation","SFR"}))</f>
        <v>81.16400662440256</v>
      </c>
      <c r="I924" s="530">
        <f>SUM(SUMIFS(I:I,$D:$D,$D924,$E:$E,$E924,$F:$F,{"Serviced Accommodation","Non-Serviced Accommodation","SFR"}))</f>
        <v>101.18361541352616</v>
      </c>
      <c r="J924" s="530">
        <f>SUM(SUMIFS(J:J,$D:$D,$D924,$E:$E,$E924,$F:$F,{"Serviced Accommodation","Non-Serviced Accommodation","SFR"}))</f>
        <v>178.72748862212265</v>
      </c>
      <c r="K924" s="530">
        <f>SUM(SUMIFS(K:K,$D:$D,$D924,$E:$E,$E924,$F:$F,{"Serviced Accommodation","Non-Serviced Accommodation","SFR"}))</f>
        <v>225.0988763499345</v>
      </c>
      <c r="L924" s="530">
        <f>SUM(SUMIFS(L:L,$D:$D,$D924,$E:$E,$E924,$F:$F,{"Serviced Accommodation","Non-Serviced Accommodation","SFR"}))</f>
        <v>230.72440155234125</v>
      </c>
      <c r="M924" s="530">
        <f>SUM(SUMIFS(M:M,$D:$D,$D924,$E:$E,$E924,$F:$F,{"Serviced Accommodation","Non-Serviced Accommodation","SFR"}))</f>
        <v>231.2360607478636</v>
      </c>
      <c r="N924" s="530">
        <f>SUM(SUMIFS(N:N,$D:$D,$D924,$E:$E,$E924,$F:$F,{"Serviced Accommodation","Non-Serviced Accommodation","SFR"}))</f>
        <v>278.44116339429883</v>
      </c>
      <c r="O924" s="530">
        <f>SUM(SUMIFS(O:O,$D:$D,$D924,$E:$E,$E924,$F:$F,{"Serviced Accommodation","Non-Serviced Accommodation","SFR"}))</f>
        <v>302.55501296847626</v>
      </c>
      <c r="P924" s="530">
        <f>SUM(SUMIFS(P:P,$D:$D,$D924,$E:$E,$E924,$F:$F,{"Serviced Accommodation","Non-Serviced Accommodation","SFR"}))</f>
        <v>217.81136448288299</v>
      </c>
      <c r="Q924" s="530">
        <f>SUM(SUMIFS(Q:Q,$D:$D,$D924,$E:$E,$E924,$F:$F,{"Serviced Accommodation","Non-Serviced Accommodation","SFR"}))</f>
        <v>220.10382313838082</v>
      </c>
      <c r="R924" s="530">
        <f>SUM(SUMIFS(R:R,$D:$D,$D924,$E:$E,$E924,$F:$F,{"Serviced Accommodation","Non-Serviced Accommodation","SFR"}))</f>
        <v>123.6305797377818</v>
      </c>
      <c r="S924" s="530">
        <f>SUM(SUMIFS(S:S,$D:$D,$D924,$E:$E,$E924,$F:$F,{"Serviced Accommodation","Non-Serviced Accommodation","SFR"}))</f>
        <v>103.06082905586443</v>
      </c>
      <c r="T924" s="530">
        <f>SUM(SUMIFS(T:T,$D:$D,$D924,$E:$E,$E924,$F:$F,{"Serviced Accommodation","Non-Serviced Accommodation","SFR"}))</f>
        <v>2293.737222087876</v>
      </c>
      <c r="U924" s="530" t="s">
        <v>61</v>
      </c>
    </row>
    <row r="925" spans="1:21" ht="12.75" customHeight="1" x14ac:dyDescent="0.3">
      <c r="A925" s="530" t="str">
        <f t="shared" si="30"/>
        <v>Conwy.2011.Vehicle Days.Staying Visitor</v>
      </c>
      <c r="B925" s="530" t="s">
        <v>219</v>
      </c>
      <c r="C925" s="530" t="str">
        <f t="shared" si="31"/>
        <v>2011.Vehicle Days.Staying Visitor</v>
      </c>
      <c r="D925" s="530" t="s">
        <v>220</v>
      </c>
      <c r="E925" s="530" t="s">
        <v>21</v>
      </c>
      <c r="F925" s="530" t="s">
        <v>140</v>
      </c>
      <c r="G925" s="530" t="s">
        <v>140</v>
      </c>
      <c r="H925" s="530">
        <f>SUM(SUMIFS(H:H,$D:$D,$D925,$E:$E,$E925,$F:$F,{"Serviced Accommodation","Non-Serviced Accommodation","SFR"}))</f>
        <v>47.69424592965337</v>
      </c>
      <c r="I925" s="530">
        <f>SUM(SUMIFS(I:I,$D:$D,$D925,$E:$E,$E925,$F:$F,{"Serviced Accommodation","Non-Serviced Accommodation","SFR"}))</f>
        <v>63.802395081938727</v>
      </c>
      <c r="J925" s="530">
        <f>SUM(SUMIFS(J:J,$D:$D,$D925,$E:$E,$E925,$F:$F,{"Serviced Accommodation","Non-Serviced Accommodation","SFR"}))</f>
        <v>177.08410839019487</v>
      </c>
      <c r="K925" s="530">
        <f>SUM(SUMIFS(K:K,$D:$D,$D925,$E:$E,$E925,$F:$F,{"Serviced Accommodation","Non-Serviced Accommodation","SFR"}))</f>
        <v>237.95418770702153</v>
      </c>
      <c r="L925" s="530">
        <f>SUM(SUMIFS(L:L,$D:$D,$D925,$E:$E,$E925,$F:$F,{"Serviced Accommodation","Non-Serviced Accommodation","SFR"}))</f>
        <v>265.46193904907409</v>
      </c>
      <c r="M925" s="530">
        <f>SUM(SUMIFS(M:M,$D:$D,$D925,$E:$E,$E925,$F:$F,{"Serviced Accommodation","Non-Serviced Accommodation","SFR"}))</f>
        <v>265.58408599862861</v>
      </c>
      <c r="N925" s="530">
        <f>SUM(SUMIFS(N:N,$D:$D,$D925,$E:$E,$E925,$F:$F,{"Serviced Accommodation","Non-Serviced Accommodation","SFR"}))</f>
        <v>324.37338585240701</v>
      </c>
      <c r="O925" s="530">
        <f>SUM(SUMIFS(O:O,$D:$D,$D925,$E:$E,$E925,$F:$F,{"Serviced Accommodation","Non-Serviced Accommodation","SFR"}))</f>
        <v>349.200754071056</v>
      </c>
      <c r="P925" s="530">
        <f>SUM(SUMIFS(P:P,$D:$D,$D925,$E:$E,$E925,$F:$F,{"Serviced Accommodation","Non-Serviced Accommodation","SFR"}))</f>
        <v>253.2582508546094</v>
      </c>
      <c r="Q925" s="530">
        <f>SUM(SUMIFS(Q:Q,$D:$D,$D925,$E:$E,$E925,$F:$F,{"Serviced Accommodation","Non-Serviced Accommodation","SFR"}))</f>
        <v>220.74600727671904</v>
      </c>
      <c r="R925" s="530">
        <f>SUM(SUMIFS(R:R,$D:$D,$D925,$E:$E,$E925,$F:$F,{"Serviced Accommodation","Non-Serviced Accommodation","SFR"}))</f>
        <v>79.694201657216695</v>
      </c>
      <c r="S925" s="530">
        <f>SUM(SUMIFS(S:S,$D:$D,$D925,$E:$E,$E925,$F:$F,{"Serviced Accommodation","Non-Serviced Accommodation","SFR"}))</f>
        <v>62.473794094329747</v>
      </c>
      <c r="T925" s="530">
        <f>SUM(SUMIFS(T:T,$D:$D,$D925,$E:$E,$E925,$F:$F,{"Serviced Accommodation","Non-Serviced Accommodation","SFR"}))</f>
        <v>2347.3273559628492</v>
      </c>
      <c r="U925" s="530" t="s">
        <v>61</v>
      </c>
    </row>
    <row r="926" spans="1:21" ht="12.75" customHeight="1" x14ac:dyDescent="0.3">
      <c r="A926" s="530" t="str">
        <f t="shared" si="30"/>
        <v>Conwy.2011.Vehicle Numbers.Staying Visitor</v>
      </c>
      <c r="B926" s="530" t="s">
        <v>219</v>
      </c>
      <c r="C926" s="530" t="str">
        <f t="shared" si="31"/>
        <v>2011.Vehicle Numbers.Staying Visitor</v>
      </c>
      <c r="D926" s="530" t="s">
        <v>220</v>
      </c>
      <c r="E926" s="530" t="s">
        <v>22</v>
      </c>
      <c r="F926" s="530" t="s">
        <v>140</v>
      </c>
      <c r="G926" s="530" t="s">
        <v>140</v>
      </c>
      <c r="H926" s="530">
        <f>SUM(SUMIFS(H:H,$D:$D,$D926,$E:$E,$E926,$F:$F,{"Serviced Accommodation","Non-Serviced Accommodation","SFR"}))</f>
        <v>22.101259878837038</v>
      </c>
      <c r="I926" s="530">
        <f>SUM(SUMIFS(I:I,$D:$D,$D926,$E:$E,$E926,$F:$F,{"Serviced Accommodation","Non-Serviced Accommodation","SFR"}))</f>
        <v>33.372422333536413</v>
      </c>
      <c r="J926" s="530">
        <f>SUM(SUMIFS(J:J,$D:$D,$D926,$E:$E,$E926,$F:$F,{"Serviced Accommodation","Non-Serviced Accommodation","SFR"}))</f>
        <v>52.803733213749823</v>
      </c>
      <c r="K926" s="530">
        <f>SUM(SUMIFS(K:K,$D:$D,$D926,$E:$E,$E926,$F:$F,{"Serviced Accommodation","Non-Serviced Accommodation","SFR"}))</f>
        <v>59.380929566010899</v>
      </c>
      <c r="L926" s="530">
        <f>SUM(SUMIFS(L:L,$D:$D,$D926,$E:$E,$E926,$F:$F,{"Serviced Accommodation","Non-Serviced Accommodation","SFR"}))</f>
        <v>62.325822054771365</v>
      </c>
      <c r="M926" s="530">
        <f>SUM(SUMIFS(M:M,$D:$D,$D926,$E:$E,$E926,$F:$F,{"Serviced Accommodation","Non-Serviced Accommodation","SFR"}))</f>
        <v>62.886675726187335</v>
      </c>
      <c r="N926" s="530">
        <f>SUM(SUMIFS(N:N,$D:$D,$D926,$E:$E,$E926,$F:$F,{"Serviced Accommodation","Non-Serviced Accommodation","SFR"}))</f>
        <v>72.505681575765763</v>
      </c>
      <c r="O926" s="530">
        <f>SUM(SUMIFS(O:O,$D:$D,$D926,$E:$E,$E926,$F:$F,{"Serviced Accommodation","Non-Serviced Accommodation","SFR"}))</f>
        <v>78.517699582718222</v>
      </c>
      <c r="P926" s="530">
        <f>SUM(SUMIFS(P:P,$D:$D,$D926,$E:$E,$E926,$F:$F,{"Serviced Accommodation","Non-Serviced Accommodation","SFR"}))</f>
        <v>57.210221610507134</v>
      </c>
      <c r="Q926" s="530">
        <f>SUM(SUMIFS(Q:Q,$D:$D,$D926,$E:$E,$E926,$F:$F,{"Serviced Accommodation","Non-Serviced Accommodation","SFR"}))</f>
        <v>64.154401058057644</v>
      </c>
      <c r="R926" s="530">
        <f>SUM(SUMIFS(R:R,$D:$D,$D926,$E:$E,$E926,$F:$F,{"Serviced Accommodation","Non-Serviced Accommodation","SFR"}))</f>
        <v>36.57902562400259</v>
      </c>
      <c r="S926" s="530">
        <f>SUM(SUMIFS(S:S,$D:$D,$D926,$E:$E,$E926,$F:$F,{"Serviced Accommodation","Non-Serviced Accommodation","SFR"}))</f>
        <v>27.608715781102191</v>
      </c>
      <c r="T926" s="530">
        <f>SUM(SUMIFS(T:T,$D:$D,$D926,$E:$E,$E926,$F:$F,{"Serviced Accommodation","Non-Serviced Accommodation","SFR"}))</f>
        <v>629.44658800524644</v>
      </c>
      <c r="U926" s="530" t="s">
        <v>61</v>
      </c>
    </row>
    <row r="927" spans="1:21" ht="12.75" customHeight="1" x14ac:dyDescent="0.3">
      <c r="A927" s="530" t="str">
        <f t="shared" ref="A927:A938" si="32">B927&amp;"."&amp;D927&amp;"."&amp;E927&amp;"."&amp;F927</f>
        <v>Conwy.2012.Economic Impact.Staying Visitor</v>
      </c>
      <c r="B927" s="530" t="s">
        <v>219</v>
      </c>
      <c r="C927" s="530" t="str">
        <f t="shared" ref="C927:C938" si="33">D927&amp;"."&amp;E927&amp;"."&amp;F927</f>
        <v>2012.Economic Impact.Staying Visitor</v>
      </c>
      <c r="D927" s="530" t="s">
        <v>231</v>
      </c>
      <c r="E927" s="530" t="s">
        <v>17</v>
      </c>
      <c r="F927" s="530" t="s">
        <v>140</v>
      </c>
      <c r="G927" s="530" t="s">
        <v>140</v>
      </c>
      <c r="H927" s="530">
        <f>SUM(SUMIFS(H:H,$D:$D,$D927,$E:$E,$E927,$F:$F,{"Serviced Accommodation","Non-Serviced Accommodation","SFR"}))</f>
        <v>8526.855065185433</v>
      </c>
      <c r="I927" s="530">
        <f>SUM(SUMIFS(I:I,$D:$D,$D927,$E:$E,$E927,$F:$F,{"Serviced Accommodation","Non-Serviced Accommodation","SFR"}))</f>
        <v>12937.704910503644</v>
      </c>
      <c r="J927" s="530">
        <f>SUM(SUMIFS(J:J,$D:$D,$D927,$E:$E,$E927,$F:$F,{"Serviced Accommodation","Non-Serviced Accommodation","SFR"}))</f>
        <v>28947.757653960609</v>
      </c>
      <c r="K927" s="530">
        <f>SUM(SUMIFS(K:K,$D:$D,$D927,$E:$E,$E927,$F:$F,{"Serviced Accommodation","Non-Serviced Accommodation","SFR"}))</f>
        <v>41100.610586244773</v>
      </c>
      <c r="L927" s="530">
        <f>SUM(SUMIFS(L:L,$D:$D,$D927,$E:$E,$E927,$F:$F,{"Serviced Accommodation","Non-Serviced Accommodation","SFR"}))</f>
        <v>45676.64531651618</v>
      </c>
      <c r="M927" s="530">
        <f>SUM(SUMIFS(M:M,$D:$D,$D927,$E:$E,$E927,$F:$F,{"Serviced Accommodation","Non-Serviced Accommodation","SFR"}))</f>
        <v>50995.210328452551</v>
      </c>
      <c r="N927" s="530">
        <f>SUM(SUMIFS(N:N,$D:$D,$D927,$E:$E,$E927,$F:$F,{"Serviced Accommodation","Non-Serviced Accommodation","SFR"}))</f>
        <v>62555.074853122533</v>
      </c>
      <c r="O927" s="530">
        <f>SUM(SUMIFS(O:O,$D:$D,$D927,$E:$E,$E927,$F:$F,{"Serviced Accommodation","Non-Serviced Accommodation","SFR"}))</f>
        <v>72687.619316808064</v>
      </c>
      <c r="P927" s="530">
        <f>SUM(SUMIFS(P:P,$D:$D,$D927,$E:$E,$E927,$F:$F,{"Serviced Accommodation","Non-Serviced Accommodation","SFR"}))</f>
        <v>55603.614271514336</v>
      </c>
      <c r="Q927" s="530">
        <f>SUM(SUMIFS(Q:Q,$D:$D,$D927,$E:$E,$E927,$F:$F,{"Serviced Accommodation","Non-Serviced Accommodation","SFR"}))</f>
        <v>41727.419785461119</v>
      </c>
      <c r="R927" s="530">
        <f>SUM(SUMIFS(R:R,$D:$D,$D927,$E:$E,$E927,$F:$F,{"Serviced Accommodation","Non-Serviced Accommodation","SFR"}))</f>
        <v>23897.289736365878</v>
      </c>
      <c r="S927" s="530">
        <f>SUM(SUMIFS(S:S,$D:$D,$D927,$E:$E,$E927,$F:$F,{"Serviced Accommodation","Non-Serviced Accommodation","SFR"}))</f>
        <v>14757.881686897259</v>
      </c>
      <c r="T927" s="530">
        <f>SUM(SUMIFS(T:T,$D:$D,$D927,$E:$E,$E927,$F:$F,{"Serviced Accommodation","Non-Serviced Accommodation","SFR"}))</f>
        <v>459413.68351103243</v>
      </c>
      <c r="U927" s="530" t="s">
        <v>57</v>
      </c>
    </row>
    <row r="928" spans="1:21" ht="12.75" customHeight="1" x14ac:dyDescent="0.3">
      <c r="A928" s="530" t="str">
        <f t="shared" si="32"/>
        <v>Conwy.2012.Employment.Staying Visitor</v>
      </c>
      <c r="B928" s="530" t="s">
        <v>219</v>
      </c>
      <c r="C928" s="530" t="str">
        <f t="shared" si="33"/>
        <v>2012.Employment.Staying Visitor</v>
      </c>
      <c r="D928" s="530" t="s">
        <v>231</v>
      </c>
      <c r="E928" s="530" t="s">
        <v>20</v>
      </c>
      <c r="F928" s="530" t="s">
        <v>140</v>
      </c>
      <c r="G928" s="530" t="s">
        <v>140</v>
      </c>
      <c r="H928" s="530">
        <f>SUM(SUMIFS(H:H,$D:$D,$D928,$E:$E,$E928,$F:$F,{"Serviced Accommodation","Non-Serviced Accommodation","SFR"}))</f>
        <v>3280.0908691149057</v>
      </c>
      <c r="I928" s="530">
        <f>SUM(SUMIFS(I:I,$D:$D,$D928,$E:$E,$E928,$F:$F,{"Serviced Accommodation","Non-Serviced Accommodation","SFR"}))</f>
        <v>3687.1009254034925</v>
      </c>
      <c r="J928" s="530">
        <f>SUM(SUMIFS(J:J,$D:$D,$D928,$E:$E,$E928,$F:$F,{"Serviced Accommodation","Non-Serviced Accommodation","SFR"}))</f>
        <v>5960.163596321454</v>
      </c>
      <c r="K928" s="530">
        <f>SUM(SUMIFS(K:K,$D:$D,$D928,$E:$E,$E928,$F:$F,{"Serviced Accommodation","Non-Serviced Accommodation","SFR"}))</f>
        <v>7501.2272880752989</v>
      </c>
      <c r="L928" s="530">
        <f>SUM(SUMIFS(L:L,$D:$D,$D928,$E:$E,$E928,$F:$F,{"Serviced Accommodation","Non-Serviced Accommodation","SFR"}))</f>
        <v>7949.8921620069277</v>
      </c>
      <c r="M928" s="530">
        <f>SUM(SUMIFS(M:M,$D:$D,$D928,$E:$E,$E928,$F:$F,{"Serviced Accommodation","Non-Serviced Accommodation","SFR"}))</f>
        <v>8524.0251001270626</v>
      </c>
      <c r="N928" s="530">
        <f>SUM(SUMIFS(N:N,$D:$D,$D928,$E:$E,$E928,$F:$F,{"Serviced Accommodation","Non-Serviced Accommodation","SFR"}))</f>
        <v>9446.9281515964467</v>
      </c>
      <c r="O928" s="530">
        <f>SUM(SUMIFS(O:O,$D:$D,$D928,$E:$E,$E928,$F:$F,{"Serviced Accommodation","Non-Serviced Accommodation","SFR"}))</f>
        <v>10174.74728618171</v>
      </c>
      <c r="P928" s="530">
        <f>SUM(SUMIFS(P:P,$D:$D,$D928,$E:$E,$E928,$F:$F,{"Serviced Accommodation","Non-Serviced Accommodation","SFR"}))</f>
        <v>8284.5387665705839</v>
      </c>
      <c r="Q928" s="530">
        <f>SUM(SUMIFS(Q:Q,$D:$D,$D928,$E:$E,$E928,$F:$F,{"Serviced Accommodation","Non-Serviced Accommodation","SFR"}))</f>
        <v>7502.9308838048146</v>
      </c>
      <c r="R928" s="530">
        <f>SUM(SUMIFS(R:R,$D:$D,$D928,$E:$E,$E928,$F:$F,{"Serviced Accommodation","Non-Serviced Accommodation","SFR"}))</f>
        <v>5166.9954576023638</v>
      </c>
      <c r="S928" s="530">
        <f>SUM(SUMIFS(S:S,$D:$D,$D928,$E:$E,$E928,$F:$F,{"Serviced Accommodation","Non-Serviced Accommodation","SFR"}))</f>
        <v>3906.9666483936694</v>
      </c>
      <c r="T928" s="530">
        <f>SUM(SUMIFS(T:T,$D:$D,$D928,$E:$E,$E928,$F:$F,{"Serviced Accommodation","Non-Serviced Accommodation","SFR"}))</f>
        <v>6782.1339279332278</v>
      </c>
      <c r="U928" s="530" t="s">
        <v>59</v>
      </c>
    </row>
    <row r="929" spans="1:21" ht="12.75" customHeight="1" x14ac:dyDescent="0.3">
      <c r="A929" s="530" t="str">
        <f t="shared" si="32"/>
        <v>Conwy.2012.Visitor Days.Staying Visitor</v>
      </c>
      <c r="B929" s="530" t="s">
        <v>219</v>
      </c>
      <c r="C929" s="530" t="str">
        <f t="shared" si="33"/>
        <v>2012.Visitor Days.Staying Visitor</v>
      </c>
      <c r="D929" s="530" t="s">
        <v>231</v>
      </c>
      <c r="E929" s="530" t="s">
        <v>171</v>
      </c>
      <c r="F929" s="530" t="s">
        <v>140</v>
      </c>
      <c r="G929" s="530" t="s">
        <v>140</v>
      </c>
      <c r="H929" s="530">
        <f>SUM(SUMIFS(H:H,$D:$D,$D929,$E:$E,$E929,$F:$F,{"Serviced Accommodation","Non-Serviced Accommodation","SFR"}))</f>
        <v>152.84033954498429</v>
      </c>
      <c r="I929" s="530">
        <f>SUM(SUMIFS(I:I,$D:$D,$D929,$E:$E,$E929,$F:$F,{"Serviced Accommodation","Non-Serviced Accommodation","SFR"}))</f>
        <v>190.68792777043353</v>
      </c>
      <c r="J929" s="530">
        <f>SUM(SUMIFS(J:J,$D:$D,$D929,$E:$E,$E929,$F:$F,{"Serviced Accommodation","Non-Serviced Accommodation","SFR"}))</f>
        <v>645.33049727758419</v>
      </c>
      <c r="K929" s="530">
        <f>SUM(SUMIFS(K:K,$D:$D,$D929,$E:$E,$E929,$F:$F,{"Serviced Accommodation","Non-Serviced Accommodation","SFR"}))</f>
        <v>950.94837998656726</v>
      </c>
      <c r="L929" s="530">
        <f>SUM(SUMIFS(L:L,$D:$D,$D929,$E:$E,$E929,$F:$F,{"Serviced Accommodation","Non-Serviced Accommodation","SFR"}))</f>
        <v>1047.5540014723053</v>
      </c>
      <c r="M929" s="530">
        <f>SUM(SUMIFS(M:M,$D:$D,$D929,$E:$E,$E929,$F:$F,{"Serviced Accommodation","Non-Serviced Accommodation","SFR"}))</f>
        <v>1158.6767294092519</v>
      </c>
      <c r="N929" s="530">
        <f>SUM(SUMIFS(N:N,$D:$D,$D929,$E:$E,$E929,$F:$F,{"Serviced Accommodation","Non-Serviced Accommodation","SFR"}))</f>
        <v>1402.811777716031</v>
      </c>
      <c r="O929" s="530">
        <f>SUM(SUMIFS(O:O,$D:$D,$D929,$E:$E,$E929,$F:$F,{"Serviced Accommodation","Non-Serviced Accommodation","SFR"}))</f>
        <v>1552.7298573550534</v>
      </c>
      <c r="P929" s="530">
        <f>SUM(SUMIFS(P:P,$D:$D,$D929,$E:$E,$E929,$F:$F,{"Serviced Accommodation","Non-Serviced Accommodation","SFR"}))</f>
        <v>1131.4274088678123</v>
      </c>
      <c r="Q929" s="530">
        <f>SUM(SUMIFS(Q:Q,$D:$D,$D929,$E:$E,$E929,$F:$F,{"Serviced Accommodation","Non-Serviced Accommodation","SFR"}))</f>
        <v>970.72291901008907</v>
      </c>
      <c r="R929" s="530">
        <f>SUM(SUMIFS(R:R,$D:$D,$D929,$E:$E,$E929,$F:$F,{"Serviced Accommodation","Non-Serviced Accommodation","SFR"}))</f>
        <v>480.18385521976927</v>
      </c>
      <c r="S929" s="530">
        <f>SUM(SUMIFS(S:S,$D:$D,$D929,$E:$E,$E929,$F:$F,{"Serviced Accommodation","Non-Serviced Accommodation","SFR"}))</f>
        <v>249.33937556855204</v>
      </c>
      <c r="T929" s="530">
        <f>SUM(SUMIFS(T:T,$D:$D,$D929,$E:$E,$E929,$F:$F,{"Serviced Accommodation","Non-Serviced Accommodation","SFR"}))</f>
        <v>9933.2530691984357</v>
      </c>
      <c r="U929" s="530" t="s">
        <v>61</v>
      </c>
    </row>
    <row r="930" spans="1:21" ht="12.75" customHeight="1" x14ac:dyDescent="0.3">
      <c r="A930" s="530" t="str">
        <f t="shared" si="32"/>
        <v>Conwy.2012.Visitor Numbers.Staying Visitor</v>
      </c>
      <c r="B930" s="530" t="s">
        <v>219</v>
      </c>
      <c r="C930" s="530" t="str">
        <f t="shared" si="33"/>
        <v>2012.Visitor Numbers.Staying Visitor</v>
      </c>
      <c r="D930" s="530" t="s">
        <v>231</v>
      </c>
      <c r="E930" s="530" t="s">
        <v>172</v>
      </c>
      <c r="F930" s="530" t="s">
        <v>140</v>
      </c>
      <c r="G930" s="530" t="s">
        <v>140</v>
      </c>
      <c r="H930" s="530">
        <f>SUM(SUMIFS(H:H,$D:$D,$D930,$E:$E,$E930,$F:$F,{"Serviced Accommodation","Non-Serviced Accommodation","SFR"}))</f>
        <v>75.412513925480297</v>
      </c>
      <c r="I930" s="530">
        <f>SUM(SUMIFS(I:I,$D:$D,$D930,$E:$E,$E930,$F:$F,{"Serviced Accommodation","Non-Serviced Accommodation","SFR"}))</f>
        <v>101.3574616396745</v>
      </c>
      <c r="J930" s="530">
        <f>SUM(SUMIFS(J:J,$D:$D,$D930,$E:$E,$E930,$F:$F,{"Serviced Accommodation","Non-Serviced Accommodation","SFR"}))</f>
        <v>179.81634841964282</v>
      </c>
      <c r="K930" s="530">
        <f>SUM(SUMIFS(K:K,$D:$D,$D930,$E:$E,$E930,$F:$F,{"Serviced Accommodation","Non-Serviced Accommodation","SFR"}))</f>
        <v>224.64079645654695</v>
      </c>
      <c r="L930" s="530">
        <f>SUM(SUMIFS(L:L,$D:$D,$D930,$E:$E,$E930,$F:$F,{"Serviced Accommodation","Non-Serviced Accommodation","SFR"}))</f>
        <v>242.96584539231029</v>
      </c>
      <c r="M930" s="530">
        <f>SUM(SUMIFS(M:M,$D:$D,$D930,$E:$E,$E930,$F:$F,{"Serviced Accommodation","Non-Serviced Accommodation","SFR"}))</f>
        <v>260.7537163778772</v>
      </c>
      <c r="N930" s="530">
        <f>SUM(SUMIFS(N:N,$D:$D,$D930,$E:$E,$E930,$F:$F,{"Serviced Accommodation","Non-Serviced Accommodation","SFR"}))</f>
        <v>284.14878256387249</v>
      </c>
      <c r="O930" s="530">
        <f>SUM(SUMIFS(O:O,$D:$D,$D930,$E:$E,$E930,$F:$F,{"Serviced Accommodation","Non-Serviced Accommodation","SFR"}))</f>
        <v>314.64081843134005</v>
      </c>
      <c r="P930" s="530">
        <f>SUM(SUMIFS(P:P,$D:$D,$D930,$E:$E,$E930,$F:$F,{"Serviced Accommodation","Non-Serviced Accommodation","SFR"}))</f>
        <v>235.31525001144689</v>
      </c>
      <c r="Q930" s="530">
        <f>SUM(SUMIFS(Q:Q,$D:$D,$D930,$E:$E,$E930,$F:$F,{"Serviced Accommodation","Non-Serviced Accommodation","SFR"}))</f>
        <v>217.59740821281724</v>
      </c>
      <c r="R930" s="530">
        <f>SUM(SUMIFS(R:R,$D:$D,$D930,$E:$E,$E930,$F:$F,{"Serviced Accommodation","Non-Serviced Accommodation","SFR"}))</f>
        <v>164.45183076364262</v>
      </c>
      <c r="S930" s="530">
        <f>SUM(SUMIFS(S:S,$D:$D,$D930,$E:$E,$E930,$F:$F,{"Serviced Accommodation","Non-Serviced Accommodation","SFR"}))</f>
        <v>104.36733791717138</v>
      </c>
      <c r="T930" s="530">
        <f>SUM(SUMIFS(T:T,$D:$D,$D930,$E:$E,$E930,$F:$F,{"Serviced Accommodation","Non-Serviced Accommodation","SFR"}))</f>
        <v>2405.4681101118222</v>
      </c>
      <c r="U930" s="530" t="s">
        <v>61</v>
      </c>
    </row>
    <row r="931" spans="1:21" ht="12.75" customHeight="1" x14ac:dyDescent="0.3">
      <c r="A931" s="530" t="str">
        <f t="shared" si="32"/>
        <v>Conwy.2012.Vehicle Days.Staying Visitor</v>
      </c>
      <c r="B931" s="530" t="s">
        <v>219</v>
      </c>
      <c r="C931" s="530" t="str">
        <f t="shared" si="33"/>
        <v>2012.Vehicle Days.Staying Visitor</v>
      </c>
      <c r="D931" s="530" t="s">
        <v>231</v>
      </c>
      <c r="E931" s="530" t="s">
        <v>21</v>
      </c>
      <c r="F931" s="530" t="s">
        <v>140</v>
      </c>
      <c r="G931" s="530" t="s">
        <v>140</v>
      </c>
      <c r="H931" s="530">
        <f>SUM(SUMIFS(H:H,$D:$D,$D931,$E:$E,$E931,$F:$F,{"Serviced Accommodation","Non-Serviced Accommodation","SFR"}))</f>
        <v>43.022528436950836</v>
      </c>
      <c r="I931" s="530">
        <f>SUM(SUMIFS(I:I,$D:$D,$D931,$E:$E,$E931,$F:$F,{"Serviced Accommodation","Non-Serviced Accommodation","SFR"}))</f>
        <v>64.342711417623647</v>
      </c>
      <c r="J931" s="530">
        <f>SUM(SUMIFS(J:J,$D:$D,$D931,$E:$E,$E931,$F:$F,{"Serviced Accommodation","Non-Serviced Accommodation","SFR"}))</f>
        <v>178.91559121612218</v>
      </c>
      <c r="K931" s="530">
        <f>SUM(SUMIFS(K:K,$D:$D,$D931,$E:$E,$E931,$F:$F,{"Serviced Accommodation","Non-Serviced Accommodation","SFR"}))</f>
        <v>245.30045575501492</v>
      </c>
      <c r="L931" s="530">
        <f>SUM(SUMIFS(L:L,$D:$D,$D931,$E:$E,$E931,$F:$F,{"Serviced Accommodation","Non-Serviced Accommodation","SFR"}))</f>
        <v>275.02903822677865</v>
      </c>
      <c r="M931" s="530">
        <f>SUM(SUMIFS(M:M,$D:$D,$D931,$E:$E,$E931,$F:$F,{"Serviced Accommodation","Non-Serviced Accommodation","SFR"}))</f>
        <v>307.28318933169919</v>
      </c>
      <c r="N931" s="530">
        <f>SUM(SUMIFS(N:N,$D:$D,$D931,$E:$E,$E931,$F:$F,{"Serviced Accommodation","Non-Serviced Accommodation","SFR"}))</f>
        <v>358.76989951145009</v>
      </c>
      <c r="O931" s="530">
        <f>SUM(SUMIFS(O:O,$D:$D,$D931,$E:$E,$E931,$F:$F,{"Serviced Accommodation","Non-Serviced Accommodation","SFR"}))</f>
        <v>396.62731197117938</v>
      </c>
      <c r="P931" s="530">
        <f>SUM(SUMIFS(P:P,$D:$D,$D931,$E:$E,$E931,$F:$F,{"Serviced Accommodation","Non-Serviced Accommodation","SFR"}))</f>
        <v>292.99397308174196</v>
      </c>
      <c r="Q931" s="530">
        <f>SUM(SUMIFS(Q:Q,$D:$D,$D931,$E:$E,$E931,$F:$F,{"Serviced Accommodation","Non-Serviced Accommodation","SFR"}))</f>
        <v>255.61665289585582</v>
      </c>
      <c r="R931" s="530">
        <f>SUM(SUMIFS(R:R,$D:$D,$D931,$E:$E,$E931,$F:$F,{"Serviced Accommodation","Non-Serviced Accommodation","SFR"}))</f>
        <v>131.60447076075727</v>
      </c>
      <c r="S931" s="530">
        <f>SUM(SUMIFS(S:S,$D:$D,$D931,$E:$E,$E931,$F:$F,{"Serviced Accommodation","Non-Serviced Accommodation","SFR"}))</f>
        <v>65.241082630474239</v>
      </c>
      <c r="T931" s="530">
        <f>SUM(SUMIFS(T:T,$D:$D,$D931,$E:$E,$E931,$F:$F,{"Serviced Accommodation","Non-Serviced Accommodation","SFR"}))</f>
        <v>2614.7469052356482</v>
      </c>
      <c r="U931" s="530" t="s">
        <v>61</v>
      </c>
    </row>
    <row r="932" spans="1:21" ht="12.75" customHeight="1" x14ac:dyDescent="0.3">
      <c r="A932" s="530" t="str">
        <f t="shared" si="32"/>
        <v>Conwy.2012.Vehicle Numbers.Staying Visitor</v>
      </c>
      <c r="B932" s="530" t="s">
        <v>219</v>
      </c>
      <c r="C932" s="530" t="str">
        <f t="shared" si="33"/>
        <v>2012.Vehicle Numbers.Staying Visitor</v>
      </c>
      <c r="D932" s="530" t="s">
        <v>231</v>
      </c>
      <c r="E932" s="530" t="s">
        <v>22</v>
      </c>
      <c r="F932" s="530" t="s">
        <v>140</v>
      </c>
      <c r="G932" s="530" t="s">
        <v>140</v>
      </c>
      <c r="H932" s="530">
        <f>SUM(SUMIFS(H:H,$D:$D,$D932,$E:$E,$E932,$F:$F,{"Serviced Accommodation","Non-Serviced Accommodation","SFR"}))</f>
        <v>20.768845444369397</v>
      </c>
      <c r="I932" s="530">
        <f>SUM(SUMIFS(I:I,$D:$D,$D932,$E:$E,$E932,$F:$F,{"Serviced Accommodation","Non-Serviced Accommodation","SFR"}))</f>
        <v>34.216865730110435</v>
      </c>
      <c r="J932" s="530">
        <f>SUM(SUMIFS(J:J,$D:$D,$D932,$E:$E,$E932,$F:$F,{"Serviced Accommodation","Non-Serviced Accommodation","SFR"}))</f>
        <v>53.152936894325528</v>
      </c>
      <c r="K932" s="530">
        <f>SUM(SUMIFS(K:K,$D:$D,$D932,$E:$E,$E932,$F:$F,{"Serviced Accommodation","Non-Serviced Accommodation","SFR"}))</f>
        <v>58.673603329496025</v>
      </c>
      <c r="L932" s="530">
        <f>SUM(SUMIFS(L:L,$D:$D,$D932,$E:$E,$E932,$F:$F,{"Serviced Accommodation","Non-Serviced Accommodation","SFR"}))</f>
        <v>65.404112594603262</v>
      </c>
      <c r="M932" s="530">
        <f>SUM(SUMIFS(M:M,$D:$D,$D932,$E:$E,$E932,$F:$F,{"Serviced Accommodation","Non-Serviced Accommodation","SFR"}))</f>
        <v>70.579463467244764</v>
      </c>
      <c r="N932" s="530">
        <f>SUM(SUMIFS(N:N,$D:$D,$D932,$E:$E,$E932,$F:$F,{"Serviced Accommodation","Non-Serviced Accommodation","SFR"}))</f>
        <v>73.567385773130809</v>
      </c>
      <c r="O932" s="530">
        <f>SUM(SUMIFS(O:O,$D:$D,$D932,$E:$E,$E932,$F:$F,{"Serviced Accommodation","Non-Serviced Accommodation","SFR"}))</f>
        <v>81.42226691061849</v>
      </c>
      <c r="P932" s="530">
        <f>SUM(SUMIFS(P:P,$D:$D,$D932,$E:$E,$E932,$F:$F,{"Serviced Accommodation","Non-Serviced Accommodation","SFR"}))</f>
        <v>61.351402542666015</v>
      </c>
      <c r="Q932" s="530">
        <f>SUM(SUMIFS(Q:Q,$D:$D,$D932,$E:$E,$E932,$F:$F,{"Serviced Accommodation","Non-Serviced Accommodation","SFR"}))</f>
        <v>60.549537172581758</v>
      </c>
      <c r="R932" s="530">
        <f>SUM(SUMIFS(R:R,$D:$D,$D932,$E:$E,$E932,$F:$F,{"Serviced Accommodation","Non-Serviced Accommodation","SFR"}))</f>
        <v>46.744791289878471</v>
      </c>
      <c r="S932" s="530">
        <f>SUM(SUMIFS(S:S,$D:$D,$D932,$E:$E,$E932,$F:$F,{"Serviced Accommodation","Non-Serviced Accommodation","SFR"}))</f>
        <v>27.762234314061196</v>
      </c>
      <c r="T932" s="530">
        <f>SUM(SUMIFS(T:T,$D:$D,$D932,$E:$E,$E932,$F:$F,{"Serviced Accommodation","Non-Serviced Accommodation","SFR"}))</f>
        <v>654.19344546308605</v>
      </c>
      <c r="U932" s="530" t="s">
        <v>61</v>
      </c>
    </row>
    <row r="933" spans="1:21" ht="12.75" customHeight="1" x14ac:dyDescent="0.3">
      <c r="A933" s="530" t="str">
        <f t="shared" si="32"/>
        <v>Conwy.2013.Economic Impact.Staying Visitor</v>
      </c>
      <c r="B933" s="530" t="s">
        <v>219</v>
      </c>
      <c r="C933" s="530" t="str">
        <f t="shared" si="33"/>
        <v>2013.Economic Impact.Staying Visitor</v>
      </c>
      <c r="D933" s="530" t="s">
        <v>232</v>
      </c>
      <c r="E933" s="530" t="s">
        <v>17</v>
      </c>
      <c r="F933" s="530" t="s">
        <v>140</v>
      </c>
      <c r="G933" s="530" t="s">
        <v>140</v>
      </c>
      <c r="H933" s="530">
        <f>SUM(SUMIFS(H:H,$D:$D,$D933,$E:$E,$E933,$F:$F,{"Serviced Accommodation","Non-Serviced Accommodation","SFR"}))</f>
        <v>10052.080389972611</v>
      </c>
      <c r="I933" s="530">
        <f>SUM(SUMIFS(I:I,$D:$D,$D933,$E:$E,$E933,$F:$F,{"Serviced Accommodation","Non-Serviced Accommodation","SFR"}))</f>
        <v>16635.079861338389</v>
      </c>
      <c r="J933" s="530">
        <f>SUM(SUMIFS(J:J,$D:$D,$D933,$E:$E,$E933,$F:$F,{"Serviced Accommodation","Non-Serviced Accommodation","SFR"}))</f>
        <v>32208.096354772595</v>
      </c>
      <c r="K933" s="530">
        <f>SUM(SUMIFS(K:K,$D:$D,$D933,$E:$E,$E933,$F:$F,{"Serviced Accommodation","Non-Serviced Accommodation","SFR"}))</f>
        <v>40077.139856488298</v>
      </c>
      <c r="L933" s="530">
        <f>SUM(SUMIFS(L:L,$D:$D,$D933,$E:$E,$E933,$F:$F,{"Serviced Accommodation","Non-Serviced Accommodation","SFR"}))</f>
        <v>51639.444013018518</v>
      </c>
      <c r="M933" s="530">
        <f>SUM(SUMIFS(M:M,$D:$D,$D933,$E:$E,$E933,$F:$F,{"Serviced Accommodation","Non-Serviced Accommodation","SFR"}))</f>
        <v>53735.694996203165</v>
      </c>
      <c r="N933" s="530">
        <f>SUM(SUMIFS(N:N,$D:$D,$D933,$E:$E,$E933,$F:$F,{"Serviced Accommodation","Non-Serviced Accommodation","SFR"}))</f>
        <v>68189.086975391372</v>
      </c>
      <c r="O933" s="530">
        <f>SUM(SUMIFS(O:O,$D:$D,$D933,$E:$E,$E933,$F:$F,{"Serviced Accommodation","Non-Serviced Accommodation","SFR"}))</f>
        <v>80047.259248192437</v>
      </c>
      <c r="P933" s="530">
        <f>SUM(SUMIFS(P:P,$D:$D,$D933,$E:$E,$E933,$F:$F,{"Serviced Accommodation","Non-Serviced Accommodation","SFR"}))</f>
        <v>56127.884267659116</v>
      </c>
      <c r="Q933" s="530">
        <f>SUM(SUMIFS(Q:Q,$D:$D,$D933,$E:$E,$E933,$F:$F,{"Serviced Accommodation","Non-Serviced Accommodation","SFR"}))</f>
        <v>38579.590077690031</v>
      </c>
      <c r="R933" s="530">
        <f>SUM(SUMIFS(R:R,$D:$D,$D933,$E:$E,$E933,$F:$F,{"Serviced Accommodation","Non-Serviced Accommodation","SFR"}))</f>
        <v>25095.813225516893</v>
      </c>
      <c r="S933" s="530">
        <f>SUM(SUMIFS(S:S,$D:$D,$D933,$E:$E,$E933,$F:$F,{"Serviced Accommodation","Non-Serviced Accommodation","SFR"}))</f>
        <v>15177.671732683537</v>
      </c>
      <c r="T933" s="530">
        <f>SUM(SUMIFS(T:T,$D:$D,$D933,$E:$E,$E933,$F:$F,{"Serviced Accommodation","Non-Serviced Accommodation","SFR"}))</f>
        <v>487564.84099892696</v>
      </c>
      <c r="U933" s="530" t="s">
        <v>57</v>
      </c>
    </row>
    <row r="934" spans="1:21" ht="12.75" customHeight="1" x14ac:dyDescent="0.3">
      <c r="A934" s="530" t="str">
        <f t="shared" si="32"/>
        <v>Conwy.2013.Employment.Staying Visitor</v>
      </c>
      <c r="B934" s="530" t="s">
        <v>219</v>
      </c>
      <c r="C934" s="530" t="str">
        <f t="shared" si="33"/>
        <v>2013.Employment.Staying Visitor</v>
      </c>
      <c r="D934" s="530" t="s">
        <v>232</v>
      </c>
      <c r="E934" s="530" t="s">
        <v>20</v>
      </c>
      <c r="F934" s="530" t="s">
        <v>140</v>
      </c>
      <c r="G934" s="530" t="s">
        <v>140</v>
      </c>
      <c r="H934" s="530">
        <f>SUM(SUMIFS(H:H,$D:$D,$D934,$E:$E,$E934,$F:$F,{"Serviced Accommodation","Non-Serviced Accommodation","SFR"}))</f>
        <v>3405.4307445880154</v>
      </c>
      <c r="I934" s="530">
        <f>SUM(SUMIFS(I:I,$D:$D,$D934,$E:$E,$E934,$F:$F,{"Serviced Accommodation","Non-Serviced Accommodation","SFR"}))</f>
        <v>3928.3720475936425</v>
      </c>
      <c r="J934" s="530">
        <f>SUM(SUMIFS(J:J,$D:$D,$D934,$E:$E,$E934,$F:$F,{"Serviced Accommodation","Non-Serviced Accommodation","SFR"}))</f>
        <v>6331.4349828873028</v>
      </c>
      <c r="K934" s="530">
        <f>SUM(SUMIFS(K:K,$D:$D,$D934,$E:$E,$E934,$F:$F,{"Serviced Accommodation","Non-Serviced Accommodation","SFR"}))</f>
        <v>7315.1991943159646</v>
      </c>
      <c r="L934" s="530">
        <f>SUM(SUMIFS(L:L,$D:$D,$D934,$E:$E,$E934,$F:$F,{"Serviced Accommodation","Non-Serviced Accommodation","SFR"}))</f>
        <v>8387.7532121290296</v>
      </c>
      <c r="M934" s="530">
        <f>SUM(SUMIFS(M:M,$D:$D,$D934,$E:$E,$E934,$F:$F,{"Serviced Accommodation","Non-Serviced Accommodation","SFR"}))</f>
        <v>8760.8489195197981</v>
      </c>
      <c r="N934" s="530">
        <f>SUM(SUMIFS(N:N,$D:$D,$D934,$E:$E,$E934,$F:$F,{"Serviced Accommodation","Non-Serviced Accommodation","SFR"}))</f>
        <v>9753.1597795447306</v>
      </c>
      <c r="O934" s="530">
        <f>SUM(SUMIFS(O:O,$D:$D,$D934,$E:$E,$E934,$F:$F,{"Serviced Accommodation","Non-Serviced Accommodation","SFR"}))</f>
        <v>10771.63101737481</v>
      </c>
      <c r="P934" s="530">
        <f>SUM(SUMIFS(P:P,$D:$D,$D934,$E:$E,$E934,$F:$F,{"Serviced Accommodation","Non-Serviced Accommodation","SFR"}))</f>
        <v>8236.3035743950331</v>
      </c>
      <c r="Q934" s="530">
        <f>SUM(SUMIFS(Q:Q,$D:$D,$D934,$E:$E,$E934,$F:$F,{"Serviced Accommodation","Non-Serviced Accommodation","SFR"}))</f>
        <v>7129.0268092077567</v>
      </c>
      <c r="R934" s="530">
        <f>SUM(SUMIFS(R:R,$D:$D,$D934,$E:$E,$E934,$F:$F,{"Serviced Accommodation","Non-Serviced Accommodation","SFR"}))</f>
        <v>5235.4757907664616</v>
      </c>
      <c r="S934" s="530">
        <f>SUM(SUMIFS(S:S,$D:$D,$D934,$E:$E,$E934,$F:$F,{"Serviced Accommodation","Non-Serviced Accommodation","SFR"}))</f>
        <v>3953.4087150446499</v>
      </c>
      <c r="T934" s="530">
        <f>SUM(SUMIFS(T:T,$D:$D,$D934,$E:$E,$E934,$F:$F,{"Serviced Accommodation","Non-Serviced Accommodation","SFR"}))</f>
        <v>6934.0037322805993</v>
      </c>
      <c r="U934" s="530" t="s">
        <v>59</v>
      </c>
    </row>
    <row r="935" spans="1:21" ht="12.75" customHeight="1" x14ac:dyDescent="0.3">
      <c r="A935" s="530" t="str">
        <f t="shared" si="32"/>
        <v>Conwy.2013.Visitor Days.Staying Visitor</v>
      </c>
      <c r="B935" s="530" t="s">
        <v>219</v>
      </c>
      <c r="C935" s="530" t="str">
        <f t="shared" si="33"/>
        <v>2013.Visitor Days.Staying Visitor</v>
      </c>
      <c r="D935" s="530" t="s">
        <v>232</v>
      </c>
      <c r="E935" s="530" t="s">
        <v>171</v>
      </c>
      <c r="F935" s="530" t="s">
        <v>140</v>
      </c>
      <c r="G935" s="530" t="s">
        <v>140</v>
      </c>
      <c r="H935" s="530">
        <f>SUM(SUMIFS(H:H,$D:$D,$D935,$E:$E,$E935,$F:$F,{"Serviced Accommodation","Non-Serviced Accommodation","SFR"}))</f>
        <v>173.92135916876106</v>
      </c>
      <c r="I935" s="530">
        <f>SUM(SUMIFS(I:I,$D:$D,$D935,$E:$E,$E935,$F:$F,{"Serviced Accommodation","Non-Serviced Accommodation","SFR"}))</f>
        <v>233.78942778540952</v>
      </c>
      <c r="J935" s="530">
        <f>SUM(SUMIFS(J:J,$D:$D,$D935,$E:$E,$E935,$F:$F,{"Serviced Accommodation","Non-Serviced Accommodation","SFR"}))</f>
        <v>709.29130924594358</v>
      </c>
      <c r="K935" s="530">
        <f>SUM(SUMIFS(K:K,$D:$D,$D935,$E:$E,$E935,$F:$F,{"Serviced Accommodation","Non-Serviced Accommodation","SFR"}))</f>
        <v>906.37578865216119</v>
      </c>
      <c r="L935" s="530">
        <f>SUM(SUMIFS(L:L,$D:$D,$D935,$E:$E,$E935,$F:$F,{"Serviced Accommodation","Non-Serviced Accommodation","SFR"}))</f>
        <v>1130.1791164605115</v>
      </c>
      <c r="M935" s="530">
        <f>SUM(SUMIFS(M:M,$D:$D,$D935,$E:$E,$E935,$F:$F,{"Serviced Accommodation","Non-Serviced Accommodation","SFR"}))</f>
        <v>1215.2209178630314</v>
      </c>
      <c r="N935" s="530">
        <f>SUM(SUMIFS(N:N,$D:$D,$D935,$E:$E,$E935,$F:$F,{"Serviced Accommodation","Non-Serviced Accommodation","SFR"}))</f>
        <v>1457.6553208909663</v>
      </c>
      <c r="O935" s="530">
        <f>SUM(SUMIFS(O:O,$D:$D,$D935,$E:$E,$E935,$F:$F,{"Serviced Accommodation","Non-Serviced Accommodation","SFR"}))</f>
        <v>1648.5624119242605</v>
      </c>
      <c r="P935" s="530">
        <f>SUM(SUMIFS(P:P,$D:$D,$D935,$E:$E,$E935,$F:$F,{"Serviced Accommodation","Non-Serviced Accommodation","SFR"}))</f>
        <v>1117.2740079434304</v>
      </c>
      <c r="Q935" s="530">
        <f>SUM(SUMIFS(Q:Q,$D:$D,$D935,$E:$E,$E935,$F:$F,{"Serviced Accommodation","Non-Serviced Accommodation","SFR"}))</f>
        <v>868.18671291809312</v>
      </c>
      <c r="R935" s="530">
        <f>SUM(SUMIFS(R:R,$D:$D,$D935,$E:$E,$E935,$F:$F,{"Serviced Accommodation","Non-Serviced Accommodation","SFR"}))</f>
        <v>487.16409703969339</v>
      </c>
      <c r="S935" s="530">
        <f>SUM(SUMIFS(S:S,$D:$D,$D935,$E:$E,$E935,$F:$F,{"Serviced Accommodation","Non-Serviced Accommodation","SFR"}))</f>
        <v>248.44021216258966</v>
      </c>
      <c r="T935" s="530">
        <f>SUM(SUMIFS(T:T,$D:$D,$D935,$E:$E,$E935,$F:$F,{"Serviced Accommodation","Non-Serviced Accommodation","SFR"}))</f>
        <v>10196.060682054851</v>
      </c>
      <c r="U935" s="530" t="s">
        <v>61</v>
      </c>
    </row>
    <row r="936" spans="1:21" ht="12.75" customHeight="1" x14ac:dyDescent="0.3">
      <c r="A936" s="530" t="str">
        <f t="shared" si="32"/>
        <v>Conwy.2013.Visitor Numbers.Staying Visitor</v>
      </c>
      <c r="B936" s="530" t="s">
        <v>219</v>
      </c>
      <c r="C936" s="530" t="str">
        <f t="shared" si="33"/>
        <v>2013.Visitor Numbers.Staying Visitor</v>
      </c>
      <c r="D936" s="530" t="s">
        <v>232</v>
      </c>
      <c r="E936" s="530" t="s">
        <v>172</v>
      </c>
      <c r="F936" s="530" t="s">
        <v>140</v>
      </c>
      <c r="G936" s="530" t="s">
        <v>140</v>
      </c>
      <c r="H936" s="530">
        <f>SUM(SUMIFS(H:H,$D:$D,$D936,$E:$E,$E936,$F:$F,{"Serviced Accommodation","Non-Serviced Accommodation","SFR"}))</f>
        <v>84.031628785435743</v>
      </c>
      <c r="I936" s="530">
        <f>SUM(SUMIFS(I:I,$D:$D,$D936,$E:$E,$E936,$F:$F,{"Serviced Accommodation","Non-Serviced Accommodation","SFR"}))</f>
        <v>129.95294889673028</v>
      </c>
      <c r="J936" s="530">
        <f>SUM(SUMIFS(J:J,$D:$D,$D936,$E:$E,$E936,$F:$F,{"Serviced Accommodation","Non-Serviced Accommodation","SFR"}))</f>
        <v>189.9652466094301</v>
      </c>
      <c r="K936" s="530">
        <f>SUM(SUMIFS(K:K,$D:$D,$D936,$E:$E,$E936,$F:$F,{"Serviced Accommodation","Non-Serviced Accommodation","SFR"}))</f>
        <v>219.28861418034285</v>
      </c>
      <c r="L936" s="530">
        <f>SUM(SUMIFS(L:L,$D:$D,$D936,$E:$E,$E936,$F:$F,{"Serviced Accommodation","Non-Serviced Accommodation","SFR"}))</f>
        <v>265.67440493199302</v>
      </c>
      <c r="M936" s="530">
        <f>SUM(SUMIFS(M:M,$D:$D,$D936,$E:$E,$E936,$F:$F,{"Serviced Accommodation","Non-Serviced Accommodation","SFR"}))</f>
        <v>265.90273361386659</v>
      </c>
      <c r="N936" s="530">
        <f>SUM(SUMIFS(N:N,$D:$D,$D936,$E:$E,$E936,$F:$F,{"Serviced Accommodation","Non-Serviced Accommodation","SFR"}))</f>
        <v>307.60990398174414</v>
      </c>
      <c r="O936" s="530">
        <f>SUM(SUMIFS(O:O,$D:$D,$D936,$E:$E,$E936,$F:$F,{"Serviced Accommodation","Non-Serviced Accommodation","SFR"}))</f>
        <v>333.69019452013293</v>
      </c>
      <c r="P936" s="530">
        <f>SUM(SUMIFS(P:P,$D:$D,$D936,$E:$E,$E936,$F:$F,{"Serviced Accommodation","Non-Serviced Accommodation","SFR"}))</f>
        <v>232.88033643326594</v>
      </c>
      <c r="Q936" s="530">
        <f>SUM(SUMIFS(Q:Q,$D:$D,$D936,$E:$E,$E936,$F:$F,{"Serviced Accommodation","Non-Serviced Accommodation","SFR"}))</f>
        <v>202.34886648681837</v>
      </c>
      <c r="R936" s="530">
        <f>SUM(SUMIFS(R:R,$D:$D,$D936,$E:$E,$E936,$F:$F,{"Serviced Accommodation","Non-Serviced Accommodation","SFR"}))</f>
        <v>170.3831587338737</v>
      </c>
      <c r="S936" s="530">
        <f>SUM(SUMIFS(S:S,$D:$D,$D936,$E:$E,$E936,$F:$F,{"Serviced Accommodation","Non-Serviced Accommodation","SFR"}))</f>
        <v>107.59501234062068</v>
      </c>
      <c r="T936" s="530">
        <f>SUM(SUMIFS(T:T,$D:$D,$D936,$E:$E,$E936,$F:$F,{"Serviced Accommodation","Non-Serviced Accommodation","SFR"}))</f>
        <v>2509.3230495142543</v>
      </c>
      <c r="U936" s="530" t="s">
        <v>61</v>
      </c>
    </row>
    <row r="937" spans="1:21" ht="12.75" customHeight="1" x14ac:dyDescent="0.3">
      <c r="A937" s="530" t="str">
        <f t="shared" si="32"/>
        <v>Conwy.2013.Vehicle Days.Staying Visitor</v>
      </c>
      <c r="B937" s="530" t="s">
        <v>219</v>
      </c>
      <c r="C937" s="530" t="str">
        <f t="shared" si="33"/>
        <v>2013.Vehicle Days.Staying Visitor</v>
      </c>
      <c r="D937" s="530" t="s">
        <v>232</v>
      </c>
      <c r="E937" s="530" t="s">
        <v>21</v>
      </c>
      <c r="F937" s="530" t="s">
        <v>140</v>
      </c>
      <c r="G937" s="530" t="s">
        <v>140</v>
      </c>
      <c r="H937" s="530">
        <f>SUM(SUMIFS(H:H,$D:$D,$D937,$E:$E,$E937,$F:$F,{"Serviced Accommodation","Non-Serviced Accommodation","SFR"}))</f>
        <v>48.77970068935133</v>
      </c>
      <c r="I937" s="530">
        <f>SUM(SUMIFS(I:I,$D:$D,$D937,$E:$E,$E937,$F:$F,{"Serviced Accommodation","Non-Serviced Accommodation","SFR"}))</f>
        <v>79.019817295864129</v>
      </c>
      <c r="J937" s="530">
        <f>SUM(SUMIFS(J:J,$D:$D,$D937,$E:$E,$E937,$F:$F,{"Serviced Accommodation","Non-Serviced Accommodation","SFR"}))</f>
        <v>197.06953709740796</v>
      </c>
      <c r="K937" s="530">
        <f>SUM(SUMIFS(K:K,$D:$D,$D937,$E:$E,$E937,$F:$F,{"Serviced Accommodation","Non-Serviced Accommodation","SFR"}))</f>
        <v>233.71249405534465</v>
      </c>
      <c r="L937" s="530">
        <f>SUM(SUMIFS(L:L,$D:$D,$D937,$E:$E,$E937,$F:$F,{"Serviced Accommodation","Non-Serviced Accommodation","SFR"}))</f>
        <v>298.09984520137715</v>
      </c>
      <c r="M937" s="530">
        <f>SUM(SUMIFS(M:M,$D:$D,$D937,$E:$E,$E937,$F:$F,{"Serviced Accommodation","Non-Serviced Accommodation","SFR"}))</f>
        <v>318.47628095579984</v>
      </c>
      <c r="N937" s="530">
        <f>SUM(SUMIFS(N:N,$D:$D,$D937,$E:$E,$E937,$F:$F,{"Serviced Accommodation","Non-Serviced Accommodation","SFR"}))</f>
        <v>374.45656700869847</v>
      </c>
      <c r="O937" s="530">
        <f>SUM(SUMIFS(O:O,$D:$D,$D937,$E:$E,$E937,$F:$F,{"Serviced Accommodation","Non-Serviced Accommodation","SFR"}))</f>
        <v>421.40532023585229</v>
      </c>
      <c r="P937" s="530">
        <f>SUM(SUMIFS(P:P,$D:$D,$D937,$E:$E,$E937,$F:$F,{"Serviced Accommodation","Non-Serviced Accommodation","SFR"}))</f>
        <v>288.81143680486571</v>
      </c>
      <c r="Q937" s="530">
        <f>SUM(SUMIFS(Q:Q,$D:$D,$D937,$E:$E,$E937,$F:$F,{"Serviced Accommodation","Non-Serviced Accommodation","SFR"}))</f>
        <v>229.76140950255621</v>
      </c>
      <c r="R937" s="530">
        <f>SUM(SUMIFS(R:R,$D:$D,$D937,$E:$E,$E937,$F:$F,{"Serviced Accommodation","Non-Serviced Accommodation","SFR"}))</f>
        <v>133.51672765027067</v>
      </c>
      <c r="S937" s="530">
        <f>SUM(SUMIFS(S:S,$D:$D,$D937,$E:$E,$E937,$F:$F,{"Serviced Accommodation","Non-Serviced Accommodation","SFR"}))</f>
        <v>65.464172138769925</v>
      </c>
      <c r="T937" s="530">
        <f>SUM(SUMIFS(T:T,$D:$D,$D937,$E:$E,$E937,$F:$F,{"Serviced Accommodation","Non-Serviced Accommodation","SFR"}))</f>
        <v>2688.5733086361579</v>
      </c>
      <c r="U937" s="530" t="s">
        <v>61</v>
      </c>
    </row>
    <row r="938" spans="1:21" ht="12.75" customHeight="1" x14ac:dyDescent="0.3">
      <c r="A938" s="530" t="str">
        <f t="shared" si="32"/>
        <v>Conwy.2013.Vehicle Numbers.Staying Visitor</v>
      </c>
      <c r="B938" s="530" t="s">
        <v>219</v>
      </c>
      <c r="C938" s="530" t="str">
        <f t="shared" si="33"/>
        <v>2013.Vehicle Numbers.Staying Visitor</v>
      </c>
      <c r="D938" s="530" t="s">
        <v>232</v>
      </c>
      <c r="E938" s="530" t="s">
        <v>22</v>
      </c>
      <c r="F938" s="530" t="s">
        <v>140</v>
      </c>
      <c r="G938" s="530" t="s">
        <v>140</v>
      </c>
      <c r="H938" s="530">
        <f>SUM(SUMIFS(H:H,$D:$D,$D938,$E:$E,$E938,$F:$F,{"Serviced Accommodation","Non-Serviced Accommodation","SFR"}))</f>
        <v>23.068802725611921</v>
      </c>
      <c r="I938" s="530">
        <f>SUM(SUMIFS(I:I,$D:$D,$D938,$E:$E,$E938,$F:$F,{"Serviced Accommodation","Non-Serviced Accommodation","SFR"}))</f>
        <v>43.934162719072923</v>
      </c>
      <c r="J938" s="530">
        <f>SUM(SUMIFS(J:J,$D:$D,$D938,$E:$E,$E938,$F:$F,{"Serviced Accommodation","Non-Serviced Accommodation","SFR"}))</f>
        <v>55.810271777035986</v>
      </c>
      <c r="K938" s="530">
        <f>SUM(SUMIFS(K:K,$D:$D,$D938,$E:$E,$E938,$F:$F,{"Serviced Accommodation","Non-Serviced Accommodation","SFR"}))</f>
        <v>57.288288515389652</v>
      </c>
      <c r="L938" s="530">
        <f>SUM(SUMIFS(L:L,$D:$D,$D938,$E:$E,$E938,$F:$F,{"Serviced Accommodation","Non-Serviced Accommodation","SFR"}))</f>
        <v>71.777283273893218</v>
      </c>
      <c r="M938" s="530">
        <f>SUM(SUMIFS(M:M,$D:$D,$D938,$E:$E,$E938,$F:$F,{"Serviced Accommodation","Non-Serviced Accommodation","SFR"}))</f>
        <v>71.362307911991678</v>
      </c>
      <c r="N938" s="530">
        <f>SUM(SUMIFS(N:N,$D:$D,$D938,$E:$E,$E938,$F:$F,{"Serviced Accommodation","Non-Serviced Accommodation","SFR"}))</f>
        <v>79.845081419032368</v>
      </c>
      <c r="O938" s="530">
        <f>SUM(SUMIFS(O:O,$D:$D,$D938,$E:$E,$E938,$F:$F,{"Serviced Accommodation","Non-Serviced Accommodation","SFR"}))</f>
        <v>86.345860185948638</v>
      </c>
      <c r="P938" s="530">
        <f>SUM(SUMIFS(P:P,$D:$D,$D938,$E:$E,$E938,$F:$F,{"Serviced Accommodation","Non-Serviced Accommodation","SFR"}))</f>
        <v>60.643042779843626</v>
      </c>
      <c r="Q938" s="530">
        <f>SUM(SUMIFS(Q:Q,$D:$D,$D938,$E:$E,$E938,$F:$F,{"Serviced Accommodation","Non-Serviced Accommodation","SFR"}))</f>
        <v>56.633577197845455</v>
      </c>
      <c r="R938" s="530">
        <f>SUM(SUMIFS(R:R,$D:$D,$D938,$E:$E,$E938,$F:$F,{"Serviced Accommodation","Non-Serviced Accommodation","SFR"}))</f>
        <v>48.351405777213991</v>
      </c>
      <c r="S938" s="530">
        <f>SUM(SUMIFS(S:S,$D:$D,$D938,$E:$E,$E938,$F:$F,{"Serviced Accommodation","Non-Serviced Accommodation","SFR"}))</f>
        <v>28.656621081376443</v>
      </c>
      <c r="T938" s="530">
        <f>SUM(SUMIFS(T:T,$D:$D,$D938,$E:$E,$E938,$F:$F,{"Serviced Accommodation","Non-Serviced Accommodation","SFR"}))</f>
        <v>683.71670536425586</v>
      </c>
      <c r="U938" s="530" t="s">
        <v>61</v>
      </c>
    </row>
    <row r="939" spans="1:21" ht="12.75" customHeight="1" x14ac:dyDescent="0.3">
      <c r="A939" s="530" t="str">
        <f t="shared" ref="A939:A962" si="34">B939&amp;"."&amp;D939&amp;"."&amp;E939&amp;"."&amp;F939</f>
        <v>Conwy.2014.Economic Impact.Staying Visitor</v>
      </c>
      <c r="B939" s="530" t="s">
        <v>219</v>
      </c>
      <c r="C939" s="530" t="str">
        <f t="shared" ref="C939:C962" si="35">D939&amp;"."&amp;E939&amp;"."&amp;F939</f>
        <v>2014.Economic Impact.Staying Visitor</v>
      </c>
      <c r="D939" s="530" t="s">
        <v>233</v>
      </c>
      <c r="E939" s="530" t="s">
        <v>17</v>
      </c>
      <c r="F939" s="530" t="s">
        <v>140</v>
      </c>
      <c r="G939" s="530" t="s">
        <v>140</v>
      </c>
      <c r="H939" s="530">
        <f>SUM(SUMIFS(H:H,$D:$D,$D939,$E:$E,$E939,$F:$F,{"Serviced Accommodation","Non-Serviced Accommodation","SFR"}))</f>
        <v>11813.733380802503</v>
      </c>
      <c r="I939" s="530">
        <f>SUM(SUMIFS(I:I,$D:$D,$D939,$E:$E,$E939,$F:$F,{"Serviced Accommodation","Non-Serviced Accommodation","SFR"}))</f>
        <v>16964.864452864516</v>
      </c>
      <c r="J939" s="530">
        <f>SUM(SUMIFS(J:J,$D:$D,$D939,$E:$E,$E939,$F:$F,{"Serviced Accommodation","Non-Serviced Accommodation","SFR"}))</f>
        <v>33663.222609609409</v>
      </c>
      <c r="K939" s="530">
        <f>SUM(SUMIFS(K:K,$D:$D,$D939,$E:$E,$E939,$F:$F,{"Serviced Accommodation","Non-Serviced Accommodation","SFR"}))</f>
        <v>43064.640124129961</v>
      </c>
      <c r="L939" s="530">
        <f>SUM(SUMIFS(L:L,$D:$D,$D939,$E:$E,$E939,$F:$F,{"Serviced Accommodation","Non-Serviced Accommodation","SFR"}))</f>
        <v>55803.75880499831</v>
      </c>
      <c r="M939" s="530">
        <f>SUM(SUMIFS(M:M,$D:$D,$D939,$E:$E,$E939,$F:$F,{"Serviced Accommodation","Non-Serviced Accommodation","SFR"}))</f>
        <v>51771.301386865111</v>
      </c>
      <c r="N939" s="530">
        <f>SUM(SUMIFS(N:N,$D:$D,$D939,$E:$E,$E939,$F:$F,{"Serviced Accommodation","Non-Serviced Accommodation","SFR"}))</f>
        <v>69431.298910586833</v>
      </c>
      <c r="O939" s="530">
        <f>SUM(SUMIFS(O:O,$D:$D,$D939,$E:$E,$E939,$F:$F,{"Serviced Accommodation","Non-Serviced Accommodation","SFR"}))</f>
        <v>81172.357183775355</v>
      </c>
      <c r="P939" s="530">
        <f>SUM(SUMIFS(P:P,$D:$D,$D939,$E:$E,$E939,$F:$F,{"Serviced Accommodation","Non-Serviced Accommodation","SFR"}))</f>
        <v>57925.228500165365</v>
      </c>
      <c r="Q939" s="530">
        <f>SUM(SUMIFS(Q:Q,$D:$D,$D939,$E:$E,$E939,$F:$F,{"Serviced Accommodation","Non-Serviced Accommodation","SFR"}))</f>
        <v>39440.934955437595</v>
      </c>
      <c r="R939" s="530">
        <f>SUM(SUMIFS(R:R,$D:$D,$D939,$E:$E,$E939,$F:$F,{"Serviced Accommodation","Non-Serviced Accommodation","SFR"}))</f>
        <v>25663.518951785369</v>
      </c>
      <c r="S939" s="530">
        <f>SUM(SUMIFS(S:S,$D:$D,$D939,$E:$E,$E939,$F:$F,{"Serviced Accommodation","Non-Serviced Accommodation","SFR"}))</f>
        <v>14518.15260329452</v>
      </c>
      <c r="T939" s="530">
        <f>SUM(SUMIFS(T:T,$D:$D,$D939,$E:$E,$E939,$F:$F,{"Serviced Accommodation","Non-Serviced Accommodation","SFR"}))</f>
        <v>501233.01186431479</v>
      </c>
      <c r="U939" s="530" t="s">
        <v>57</v>
      </c>
    </row>
    <row r="940" spans="1:21" ht="12.75" customHeight="1" x14ac:dyDescent="0.3">
      <c r="A940" s="530" t="str">
        <f t="shared" si="34"/>
        <v>Conwy.2014.Employment.Staying Visitor</v>
      </c>
      <c r="B940" s="530" t="s">
        <v>219</v>
      </c>
      <c r="C940" s="530" t="str">
        <f t="shared" si="35"/>
        <v>2014.Employment.Staying Visitor</v>
      </c>
      <c r="D940" s="530" t="s">
        <v>233</v>
      </c>
      <c r="E940" s="530" t="s">
        <v>20</v>
      </c>
      <c r="F940" s="530" t="s">
        <v>140</v>
      </c>
      <c r="G940" s="530" t="s">
        <v>140</v>
      </c>
      <c r="H940" s="530">
        <f>SUM(SUMIFS(H:H,$D:$D,$D940,$E:$E,$E940,$F:$F,{"Serviced Accommodation","Non-Serviced Accommodation","SFR"}))</f>
        <v>3432.0664070253383</v>
      </c>
      <c r="I940" s="530">
        <f>SUM(SUMIFS(I:I,$D:$D,$D940,$E:$E,$E940,$F:$F,{"Serviced Accommodation","Non-Serviced Accommodation","SFR"}))</f>
        <v>3837.5369444488338</v>
      </c>
      <c r="J940" s="530">
        <f>SUM(SUMIFS(J:J,$D:$D,$D940,$E:$E,$E940,$F:$F,{"Serviced Accommodation","Non-Serviced Accommodation","SFR"}))</f>
        <v>6121.0111038623318</v>
      </c>
      <c r="K940" s="530">
        <f>SUM(SUMIFS(K:K,$D:$D,$D940,$E:$E,$E940,$F:$F,{"Serviced Accommodation","Non-Serviced Accommodation","SFR"}))</f>
        <v>7133.9525972865031</v>
      </c>
      <c r="L940" s="530">
        <f>SUM(SUMIFS(L:L,$D:$D,$D940,$E:$E,$E940,$F:$F,{"Serviced Accommodation","Non-Serviced Accommodation","SFR"}))</f>
        <v>8289.8251269137472</v>
      </c>
      <c r="M940" s="530">
        <f>SUM(SUMIFS(M:M,$D:$D,$D940,$E:$E,$E940,$F:$F,{"Serviced Accommodation","Non-Serviced Accommodation","SFR"}))</f>
        <v>7930.2314529280111</v>
      </c>
      <c r="N940" s="530">
        <f>SUM(SUMIFS(N:N,$D:$D,$D940,$E:$E,$E940,$F:$F,{"Serviced Accommodation","Non-Serviced Accommodation","SFR"}))</f>
        <v>9112.6649956586298</v>
      </c>
      <c r="O940" s="530">
        <f>SUM(SUMIFS(O:O,$D:$D,$D940,$E:$E,$E940,$F:$F,{"Serviced Accommodation","Non-Serviced Accommodation","SFR"}))</f>
        <v>10299.088500242702</v>
      </c>
      <c r="P940" s="530">
        <f>SUM(SUMIFS(P:P,$D:$D,$D940,$E:$E,$E940,$F:$F,{"Serviced Accommodation","Non-Serviced Accommodation","SFR"}))</f>
        <v>7866.8577544408226</v>
      </c>
      <c r="Q940" s="530">
        <f>SUM(SUMIFS(Q:Q,$D:$D,$D940,$E:$E,$E940,$F:$F,{"Serviced Accommodation","Non-Serviced Accommodation","SFR"}))</f>
        <v>6725.3887197368249</v>
      </c>
      <c r="R940" s="530">
        <f>SUM(SUMIFS(R:R,$D:$D,$D940,$E:$E,$E940,$F:$F,{"Serviced Accommodation","Non-Serviced Accommodation","SFR"}))</f>
        <v>5079.3478854878858</v>
      </c>
      <c r="S940" s="530">
        <f>SUM(SUMIFS(S:S,$D:$D,$D940,$E:$E,$E940,$F:$F,{"Serviced Accommodation","Non-Serviced Accommodation","SFR"}))</f>
        <v>3803.5867656175192</v>
      </c>
      <c r="T940" s="530">
        <f>SUM(SUMIFS(T:T,$D:$D,$D940,$E:$E,$E940,$F:$F,{"Serviced Accommodation","Non-Serviced Accommodation","SFR"}))</f>
        <v>6635.9631878040955</v>
      </c>
      <c r="U940" s="530" t="s">
        <v>59</v>
      </c>
    </row>
    <row r="941" spans="1:21" ht="12.75" customHeight="1" x14ac:dyDescent="0.3">
      <c r="A941" s="530" t="str">
        <f t="shared" si="34"/>
        <v>Conwy.2014.Visitor Days.Staying Visitor</v>
      </c>
      <c r="B941" s="530" t="s">
        <v>219</v>
      </c>
      <c r="C941" s="530" t="str">
        <f t="shared" si="35"/>
        <v>2014.Visitor Days.Staying Visitor</v>
      </c>
      <c r="D941" s="530" t="s">
        <v>233</v>
      </c>
      <c r="E941" s="530" t="s">
        <v>171</v>
      </c>
      <c r="F941" s="530" t="s">
        <v>140</v>
      </c>
      <c r="G941" s="530" t="s">
        <v>140</v>
      </c>
      <c r="H941" s="530">
        <f>SUM(SUMIFS(H:H,$D:$D,$D941,$E:$E,$E941,$F:$F,{"Serviced Accommodation","Non-Serviced Accommodation","SFR"}))</f>
        <v>191.71186673920715</v>
      </c>
      <c r="I941" s="530">
        <f>SUM(SUMIFS(I:I,$D:$D,$D941,$E:$E,$E941,$F:$F,{"Serviced Accommodation","Non-Serviced Accommodation","SFR"}))</f>
        <v>236.10000675025987</v>
      </c>
      <c r="J941" s="530">
        <f>SUM(SUMIFS(J:J,$D:$D,$D941,$E:$E,$E941,$F:$F,{"Serviced Accommodation","Non-Serviced Accommodation","SFR"}))</f>
        <v>714.82961623597623</v>
      </c>
      <c r="K941" s="530">
        <f>SUM(SUMIFS(K:K,$D:$D,$D941,$E:$E,$E941,$F:$F,{"Serviced Accommodation","Non-Serviced Accommodation","SFR"}))</f>
        <v>924.64470792228906</v>
      </c>
      <c r="L941" s="530">
        <f>SUM(SUMIFS(L:L,$D:$D,$D941,$E:$E,$E941,$F:$F,{"Serviced Accommodation","Non-Serviced Accommodation","SFR"}))</f>
        <v>1180.1430463640481</v>
      </c>
      <c r="M941" s="530">
        <f>SUM(SUMIFS(M:M,$D:$D,$D941,$E:$E,$E941,$F:$F,{"Serviced Accommodation","Non-Serviced Accommodation","SFR"}))</f>
        <v>1118.8769251460594</v>
      </c>
      <c r="N941" s="530">
        <f>SUM(SUMIFS(N:N,$D:$D,$D941,$E:$E,$E941,$F:$F,{"Serviced Accommodation","Non-Serviced Accommodation","SFR"}))</f>
        <v>1431.0505777012772</v>
      </c>
      <c r="O941" s="530">
        <f>SUM(SUMIFS(O:O,$D:$D,$D941,$E:$E,$E941,$F:$F,{"Serviced Accommodation","Non-Serviced Accommodation","SFR"}))</f>
        <v>1627.6478376306859</v>
      </c>
      <c r="P941" s="530">
        <f>SUM(SUMIFS(P:P,$D:$D,$D941,$E:$E,$E941,$F:$F,{"Serviced Accommodation","Non-Serviced Accommodation","SFR"}))</f>
        <v>1114.3989668522649</v>
      </c>
      <c r="Q941" s="530">
        <f>SUM(SUMIFS(Q:Q,$D:$D,$D941,$E:$E,$E941,$F:$F,{"Serviced Accommodation","Non-Serviced Accommodation","SFR"}))</f>
        <v>847.08812253802887</v>
      </c>
      <c r="R941" s="530">
        <f>SUM(SUMIFS(R:R,$D:$D,$D941,$E:$E,$E941,$F:$F,{"Serviced Accommodation","Non-Serviced Accommodation","SFR"}))</f>
        <v>489.39261923934049</v>
      </c>
      <c r="S941" s="530">
        <f>SUM(SUMIFS(S:S,$D:$D,$D941,$E:$E,$E941,$F:$F,{"Serviced Accommodation","Non-Serviced Accommodation","SFR"}))</f>
        <v>240.35939471519507</v>
      </c>
      <c r="T941" s="530">
        <f>SUM(SUMIFS(T:T,$D:$D,$D941,$E:$E,$E941,$F:$F,{"Serviced Accommodation","Non-Serviced Accommodation","SFR"}))</f>
        <v>10116.243687834633</v>
      </c>
      <c r="U941" s="530" t="s">
        <v>61</v>
      </c>
    </row>
    <row r="942" spans="1:21" ht="12.75" customHeight="1" x14ac:dyDescent="0.3">
      <c r="A942" s="530" t="str">
        <f t="shared" si="34"/>
        <v>Conwy.2014.Visitor Numbers.Staying Visitor</v>
      </c>
      <c r="B942" s="530" t="s">
        <v>219</v>
      </c>
      <c r="C942" s="530" t="str">
        <f t="shared" si="35"/>
        <v>2014.Visitor Numbers.Staying Visitor</v>
      </c>
      <c r="D942" s="530" t="s">
        <v>233</v>
      </c>
      <c r="E942" s="530" t="s">
        <v>172</v>
      </c>
      <c r="F942" s="530" t="s">
        <v>140</v>
      </c>
      <c r="G942" s="530" t="s">
        <v>140</v>
      </c>
      <c r="H942" s="530">
        <f>SUM(SUMIFS(H:H,$D:$D,$D942,$E:$E,$E942,$F:$F,{"Serviced Accommodation","Non-Serviced Accommodation","SFR"}))</f>
        <v>94.795211912170458</v>
      </c>
      <c r="I942" s="530">
        <f>SUM(SUMIFS(I:I,$D:$D,$D942,$E:$E,$E942,$F:$F,{"Serviced Accommodation","Non-Serviced Accommodation","SFR"}))</f>
        <v>125.59225866059832</v>
      </c>
      <c r="J942" s="530">
        <f>SUM(SUMIFS(J:J,$D:$D,$D942,$E:$E,$E942,$F:$F,{"Serviced Accommodation","Non-Serviced Accommodation","SFR"}))</f>
        <v>192.86471632175548</v>
      </c>
      <c r="K942" s="530">
        <f>SUM(SUMIFS(K:K,$D:$D,$D942,$E:$E,$E942,$F:$F,{"Serviced Accommodation","Non-Serviced Accommodation","SFR"}))</f>
        <v>228.99178197986095</v>
      </c>
      <c r="L942" s="530">
        <f>SUM(SUMIFS(L:L,$D:$D,$D942,$E:$E,$E942,$F:$F,{"Serviced Accommodation","Non-Serviced Accommodation","SFR"}))</f>
        <v>275.33605166824185</v>
      </c>
      <c r="M942" s="530">
        <f>SUM(SUMIFS(M:M,$D:$D,$D942,$E:$E,$E942,$F:$F,{"Serviced Accommodation","Non-Serviced Accommodation","SFR"}))</f>
        <v>258.2767017151445</v>
      </c>
      <c r="N942" s="530">
        <f>SUM(SUMIFS(N:N,$D:$D,$D942,$E:$E,$E942,$F:$F,{"Serviced Accommodation","Non-Serviced Accommodation","SFR"}))</f>
        <v>302.72514365455777</v>
      </c>
      <c r="O942" s="530">
        <f>SUM(SUMIFS(O:O,$D:$D,$D942,$E:$E,$E942,$F:$F,{"Serviced Accommodation","Non-Serviced Accommodation","SFR"}))</f>
        <v>329.7979952970465</v>
      </c>
      <c r="P942" s="530">
        <f>SUM(SUMIFS(P:P,$D:$D,$D942,$E:$E,$E942,$F:$F,{"Serviced Accommodation","Non-Serviced Accommodation","SFR"}))</f>
        <v>235.78702268048926</v>
      </c>
      <c r="Q942" s="530">
        <f>SUM(SUMIFS(Q:Q,$D:$D,$D942,$E:$E,$E942,$F:$F,{"Serviced Accommodation","Non-Serviced Accommodation","SFR"}))</f>
        <v>209.51090875760144</v>
      </c>
      <c r="R942" s="530">
        <f>SUM(SUMIFS(R:R,$D:$D,$D942,$E:$E,$E942,$F:$F,{"Serviced Accommodation","Non-Serviced Accommodation","SFR"}))</f>
        <v>167.56075739193352</v>
      </c>
      <c r="S942" s="530">
        <f>SUM(SUMIFS(S:S,$D:$D,$D942,$E:$E,$E942,$F:$F,{"Serviced Accommodation","Non-Serviced Accommodation","SFR"}))</f>
        <v>95.778184996173124</v>
      </c>
      <c r="T942" s="530">
        <f>SUM(SUMIFS(T:T,$D:$D,$D942,$E:$E,$E942,$F:$F,{"Serviced Accommodation","Non-Serviced Accommodation","SFR"}))</f>
        <v>2517.0167350355728</v>
      </c>
      <c r="U942" s="530" t="s">
        <v>61</v>
      </c>
    </row>
    <row r="943" spans="1:21" ht="12.75" customHeight="1" x14ac:dyDescent="0.3">
      <c r="A943" s="530" t="str">
        <f t="shared" si="34"/>
        <v>Conwy.2014.Vehicle Days.Staying Visitor</v>
      </c>
      <c r="B943" s="530" t="s">
        <v>219</v>
      </c>
      <c r="C943" s="530" t="str">
        <f t="shared" si="35"/>
        <v>2014.Vehicle Days.Staying Visitor</v>
      </c>
      <c r="D943" s="530" t="s">
        <v>233</v>
      </c>
      <c r="E943" s="530" t="s">
        <v>21</v>
      </c>
      <c r="F943" s="530" t="s">
        <v>140</v>
      </c>
      <c r="G943" s="530" t="s">
        <v>140</v>
      </c>
      <c r="H943" s="530">
        <f>SUM(SUMIFS(H:H,$D:$D,$D943,$E:$E,$E943,$F:$F,{"Serviced Accommodation","Non-Serviced Accommodation","SFR"}))</f>
        <v>53.400941568309158</v>
      </c>
      <c r="I943" s="530">
        <f>SUM(SUMIFS(I:I,$D:$D,$D943,$E:$E,$E943,$F:$F,{"Serviced Accommodation","Non-Serviced Accommodation","SFR"}))</f>
        <v>80.031244997416465</v>
      </c>
      <c r="J943" s="530">
        <f>SUM(SUMIFS(J:J,$D:$D,$D943,$E:$E,$E943,$F:$F,{"Serviced Accommodation","Non-Serviced Accommodation","SFR"}))</f>
        <v>198.86979299351808</v>
      </c>
      <c r="K943" s="530">
        <f>SUM(SUMIFS(K:K,$D:$D,$D943,$E:$E,$E943,$F:$F,{"Serviced Accommodation","Non-Serviced Accommodation","SFR"}))</f>
        <v>237.97641264681255</v>
      </c>
      <c r="L943" s="530">
        <f>SUM(SUMIFS(L:L,$D:$D,$D943,$E:$E,$E943,$F:$F,{"Serviced Accommodation","Non-Serviced Accommodation","SFR"}))</f>
        <v>313.40787932874417</v>
      </c>
      <c r="M943" s="530">
        <f>SUM(SUMIFS(M:M,$D:$D,$D943,$E:$E,$E943,$F:$F,{"Serviced Accommodation","Non-Serviced Accommodation","SFR"}))</f>
        <v>293.82909649828258</v>
      </c>
      <c r="N943" s="530">
        <f>SUM(SUMIFS(N:N,$D:$D,$D943,$E:$E,$E943,$F:$F,{"Serviced Accommodation","Non-Serviced Accommodation","SFR"}))</f>
        <v>363.86236589623712</v>
      </c>
      <c r="O943" s="530">
        <f>SUM(SUMIFS(O:O,$D:$D,$D943,$E:$E,$E943,$F:$F,{"Serviced Accommodation","Non-Serviced Accommodation","SFR"}))</f>
        <v>414.65714005782894</v>
      </c>
      <c r="P943" s="530">
        <f>SUM(SUMIFS(P:P,$D:$D,$D943,$E:$E,$E943,$F:$F,{"Serviced Accommodation","Non-Serviced Accommodation","SFR"}))</f>
        <v>287.40746649444026</v>
      </c>
      <c r="Q943" s="530">
        <f>SUM(SUMIFS(Q:Q,$D:$D,$D943,$E:$E,$E943,$F:$F,{"Serviced Accommodation","Non-Serviced Accommodation","SFR"}))</f>
        <v>223.47784192719163</v>
      </c>
      <c r="R943" s="530">
        <f>SUM(SUMIFS(R:R,$D:$D,$D943,$E:$E,$E943,$F:$F,{"Serviced Accommodation","Non-Serviced Accommodation","SFR"}))</f>
        <v>134.10402387352227</v>
      </c>
      <c r="S943" s="530">
        <f>SUM(SUMIFS(S:S,$D:$D,$D943,$E:$E,$E943,$F:$F,{"Serviced Accommodation","Non-Serviced Accommodation","SFR"}))</f>
        <v>62.636890334741864</v>
      </c>
      <c r="T943" s="530">
        <f>SUM(SUMIFS(T:T,$D:$D,$D943,$E:$E,$E943,$F:$F,{"Serviced Accommodation","Non-Serviced Accommodation","SFR"}))</f>
        <v>2663.6610966170451</v>
      </c>
      <c r="U943" s="530" t="s">
        <v>61</v>
      </c>
    </row>
    <row r="944" spans="1:21" ht="12.75" customHeight="1" x14ac:dyDescent="0.3">
      <c r="A944" s="530" t="str">
        <f t="shared" si="34"/>
        <v>Conwy.2014.Vehicle Numbers.Staying Visitor</v>
      </c>
      <c r="B944" s="530" t="s">
        <v>219</v>
      </c>
      <c r="C944" s="530" t="str">
        <f t="shared" si="35"/>
        <v>2014.Vehicle Numbers.Staying Visitor</v>
      </c>
      <c r="D944" s="530" t="s">
        <v>233</v>
      </c>
      <c r="E944" s="530" t="s">
        <v>22</v>
      </c>
      <c r="F944" s="530" t="s">
        <v>140</v>
      </c>
      <c r="G944" s="530" t="s">
        <v>140</v>
      </c>
      <c r="H944" s="530">
        <f>SUM(SUMIFS(H:H,$D:$D,$D944,$E:$E,$E944,$F:$F,{"Serviced Accommodation","Non-Serviced Accommodation","SFR"}))</f>
        <v>25.861759996163368</v>
      </c>
      <c r="I944" s="530">
        <f>SUM(SUMIFS(I:I,$D:$D,$D944,$E:$E,$E944,$F:$F,{"Serviced Accommodation","Non-Serviced Accommodation","SFR"}))</f>
        <v>42.506332013621623</v>
      </c>
      <c r="J944" s="530">
        <f>SUM(SUMIFS(J:J,$D:$D,$D944,$E:$E,$E944,$F:$F,{"Serviced Accommodation","Non-Serviced Accommodation","SFR"}))</f>
        <v>56.805364188756094</v>
      </c>
      <c r="K944" s="530">
        <f>SUM(SUMIFS(K:K,$D:$D,$D944,$E:$E,$E944,$F:$F,{"Serviced Accommodation","Non-Serviced Accommodation","SFR"}))</f>
        <v>59.731940313739287</v>
      </c>
      <c r="L944" s="530">
        <f>SUM(SUMIFS(L:L,$D:$D,$D944,$E:$E,$E944,$F:$F,{"Serviced Accommodation","Non-Serviced Accommodation","SFR"}))</f>
        <v>74.568158865074423</v>
      </c>
      <c r="M944" s="530">
        <f>SUM(SUMIFS(M:M,$D:$D,$D944,$E:$E,$E944,$F:$F,{"Serviced Accommodation","Non-Serviced Accommodation","SFR"}))</f>
        <v>69.559942452399156</v>
      </c>
      <c r="N944" s="530">
        <f>SUM(SUMIFS(N:N,$D:$D,$D944,$E:$E,$E944,$F:$F,{"Serviced Accommodation","Non-Serviced Accommodation","SFR"}))</f>
        <v>78.077751087364902</v>
      </c>
      <c r="O944" s="530">
        <f>SUM(SUMIFS(O:O,$D:$D,$D944,$E:$E,$E944,$F:$F,{"Serviced Accommodation","Non-Serviced Accommodation","SFR"}))</f>
        <v>85.169528259219518</v>
      </c>
      <c r="P944" s="530">
        <f>SUM(SUMIFS(P:P,$D:$D,$D944,$E:$E,$E944,$F:$F,{"Serviced Accommodation","Non-Serviced Accommodation","SFR"}))</f>
        <v>61.298204570364021</v>
      </c>
      <c r="Q944" s="530">
        <f>SUM(SUMIFS(Q:Q,$D:$D,$D944,$E:$E,$E944,$F:$F,{"Serviced Accommodation","Non-Serviced Accommodation","SFR"}))</f>
        <v>58.948295381961621</v>
      </c>
      <c r="R944" s="530">
        <f>SUM(SUMIFS(R:R,$D:$D,$D944,$E:$E,$E944,$F:$F,{"Serviced Accommodation","Non-Serviced Accommodation","SFR"}))</f>
        <v>47.587361919193285</v>
      </c>
      <c r="S944" s="530">
        <f>SUM(SUMIFS(S:S,$D:$D,$D944,$E:$E,$E944,$F:$F,{"Serviced Accommodation","Non-Serviced Accommodation","SFR"}))</f>
        <v>25.487666919070126</v>
      </c>
      <c r="T944" s="530">
        <f>SUM(SUMIFS(T:T,$D:$D,$D944,$E:$E,$E944,$F:$F,{"Serviced Accommodation","Non-Serviced Accommodation","SFR"}))</f>
        <v>685.60230596692736</v>
      </c>
      <c r="U944" s="530" t="s">
        <v>61</v>
      </c>
    </row>
    <row r="945" spans="1:21" ht="12.75" customHeight="1" x14ac:dyDescent="0.3">
      <c r="A945" s="530" t="str">
        <f t="shared" si="34"/>
        <v>Conwy.2015.Economic Impact.Staying Visitor</v>
      </c>
      <c r="B945" s="530" t="s">
        <v>219</v>
      </c>
      <c r="C945" s="530" t="str">
        <f t="shared" si="35"/>
        <v>2015.Economic Impact.Staying Visitor</v>
      </c>
      <c r="D945" s="530" t="s">
        <v>234</v>
      </c>
      <c r="E945" s="530" t="s">
        <v>17</v>
      </c>
      <c r="F945" s="530" t="s">
        <v>140</v>
      </c>
      <c r="G945" s="530" t="s">
        <v>140</v>
      </c>
      <c r="H945" s="530">
        <f>SUM(SUMIFS(H:H,$D:$D,$D945,$E:$E,$E945,$F:$F,{"Serviced Accommodation","Non-Serviced Accommodation","SFR"}))</f>
        <v>12069.05857051424</v>
      </c>
      <c r="I945" s="530">
        <f>SUM(SUMIFS(I:I,$D:$D,$D945,$E:$E,$E945,$F:$F,{"Serviced Accommodation","Non-Serviced Accommodation","SFR"}))</f>
        <v>17358.195728727766</v>
      </c>
      <c r="J945" s="530">
        <f>SUM(SUMIFS(J:J,$D:$D,$D945,$E:$E,$E945,$F:$F,{"Serviced Accommodation","Non-Serviced Accommodation","SFR"}))</f>
        <v>34251.328720763027</v>
      </c>
      <c r="K945" s="530">
        <f>SUM(SUMIFS(K:K,$D:$D,$D945,$E:$E,$E945,$F:$F,{"Serviced Accommodation","Non-Serviced Accommodation","SFR"}))</f>
        <v>45242.16699386984</v>
      </c>
      <c r="L945" s="530">
        <f>SUM(SUMIFS(L:L,$D:$D,$D945,$E:$E,$E945,$F:$F,{"Serviced Accommodation","Non-Serviced Accommodation","SFR"}))</f>
        <v>58929.421781894067</v>
      </c>
      <c r="M945" s="530">
        <f>SUM(SUMIFS(M:M,$D:$D,$D945,$E:$E,$E945,$F:$F,{"Serviced Accommodation","Non-Serviced Accommodation","SFR"}))</f>
        <v>53889.539592049099</v>
      </c>
      <c r="N945" s="530">
        <f>SUM(SUMIFS(N:N,$D:$D,$D945,$E:$E,$E945,$F:$F,{"Serviced Accommodation","Non-Serviced Accommodation","SFR"}))</f>
        <v>77002.668192853132</v>
      </c>
      <c r="O945" s="530">
        <f>SUM(SUMIFS(O:O,$D:$D,$D945,$E:$E,$E945,$F:$F,{"Serviced Accommodation","Non-Serviced Accommodation","SFR"}))</f>
        <v>86683.841547827353</v>
      </c>
      <c r="P945" s="530">
        <f>SUM(SUMIFS(P:P,$D:$D,$D945,$E:$E,$E945,$F:$F,{"Serviced Accommodation","Non-Serviced Accommodation","SFR"}))</f>
        <v>58322.69489868782</v>
      </c>
      <c r="Q945" s="530">
        <f>SUM(SUMIFS(Q:Q,$D:$D,$D945,$E:$E,$E945,$F:$F,{"Serviced Accommodation","Non-Serviced Accommodation","SFR"}))</f>
        <v>41458.265804335955</v>
      </c>
      <c r="R945" s="530">
        <f>SUM(SUMIFS(R:R,$D:$D,$D945,$E:$E,$E945,$F:$F,{"Serviced Accommodation","Non-Serviced Accommodation","SFR"}))</f>
        <v>25909.165429941342</v>
      </c>
      <c r="S945" s="530">
        <f>SUM(SUMIFS(S:S,$D:$D,$D945,$E:$E,$E945,$F:$F,{"Serviced Accommodation","Non-Serviced Accommodation","SFR"}))</f>
        <v>13398.126699252494</v>
      </c>
      <c r="T945" s="530">
        <f>SUM(SUMIFS(T:T,$D:$D,$D945,$E:$E,$E945,$F:$F,{"Serviced Accommodation","Non-Serviced Accommodation","SFR"}))</f>
        <v>524514.47396071616</v>
      </c>
      <c r="U945" s="530" t="s">
        <v>57</v>
      </c>
    </row>
    <row r="946" spans="1:21" ht="12.75" customHeight="1" x14ac:dyDescent="0.3">
      <c r="A946" s="530" t="str">
        <f t="shared" si="34"/>
        <v>Conwy.2015.Employment.Staying Visitor</v>
      </c>
      <c r="B946" s="530" t="s">
        <v>219</v>
      </c>
      <c r="C946" s="530" t="str">
        <f t="shared" si="35"/>
        <v>2015.Employment.Staying Visitor</v>
      </c>
      <c r="D946" s="530" t="s">
        <v>234</v>
      </c>
      <c r="E946" s="530" t="s">
        <v>20</v>
      </c>
      <c r="F946" s="530" t="s">
        <v>140</v>
      </c>
      <c r="G946" s="530" t="s">
        <v>140</v>
      </c>
      <c r="H946" s="530">
        <f>SUM(SUMIFS(H:H,$D:$D,$D946,$E:$E,$E946,$F:$F,{"Serviced Accommodation","Non-Serviced Accommodation","SFR"}))</f>
        <v>3479.5814126593068</v>
      </c>
      <c r="I946" s="530">
        <f>SUM(SUMIFS(I:I,$D:$D,$D946,$E:$E,$E946,$F:$F,{"Serviced Accommodation","Non-Serviced Accommodation","SFR"}))</f>
        <v>3884.7198865553364</v>
      </c>
      <c r="J946" s="530">
        <f>SUM(SUMIFS(J:J,$D:$D,$D946,$E:$E,$E946,$F:$F,{"Serviced Accommodation","Non-Serviced Accommodation","SFR"}))</f>
        <v>6263.2920432126202</v>
      </c>
      <c r="K946" s="530">
        <f>SUM(SUMIFS(K:K,$D:$D,$D946,$E:$E,$E946,$F:$F,{"Serviced Accommodation","Non-Serviced Accommodation","SFR"}))</f>
        <v>7505.1223762135151</v>
      </c>
      <c r="L946" s="530">
        <f>SUM(SUMIFS(L:L,$D:$D,$D946,$E:$E,$E946,$F:$F,{"Serviced Accommodation","Non-Serviced Accommodation","SFR"}))</f>
        <v>8728.0873700563789</v>
      </c>
      <c r="M946" s="530">
        <f>SUM(SUMIFS(M:M,$D:$D,$D946,$E:$E,$E946,$F:$F,{"Serviced Accommodation","Non-Serviced Accommodation","SFR"}))</f>
        <v>8273.5152291389095</v>
      </c>
      <c r="N946" s="530">
        <f>SUM(SUMIFS(N:N,$D:$D,$D946,$E:$E,$E946,$F:$F,{"Serviced Accommodation","Non-Serviced Accommodation","SFR"}))</f>
        <v>9886.09901166079</v>
      </c>
      <c r="O946" s="530">
        <f>SUM(SUMIFS(O:O,$D:$D,$D946,$E:$E,$E946,$F:$F,{"Serviced Accommodation","Non-Serviced Accommodation","SFR"}))</f>
        <v>11013.080541598278</v>
      </c>
      <c r="P946" s="530">
        <f>SUM(SUMIFS(P:P,$D:$D,$D946,$E:$E,$E946,$F:$F,{"Serviced Accommodation","Non-Serviced Accommodation","SFR"}))</f>
        <v>7987.4432726674122</v>
      </c>
      <c r="Q946" s="530">
        <f>SUM(SUMIFS(Q:Q,$D:$D,$D946,$E:$E,$E946,$F:$F,{"Serviced Accommodation","Non-Serviced Accommodation","SFR"}))</f>
        <v>7016.1137766761221</v>
      </c>
      <c r="R946" s="530">
        <f>SUM(SUMIFS(R:R,$D:$D,$D946,$E:$E,$E946,$F:$F,{"Serviced Accommodation","Non-Serviced Accommodation","SFR"}))</f>
        <v>5143.9391463348447</v>
      </c>
      <c r="S946" s="530">
        <f>SUM(SUMIFS(S:S,$D:$D,$D946,$E:$E,$E946,$F:$F,{"Serviced Accommodation","Non-Serviced Accommodation","SFR"}))</f>
        <v>3737.7055604238185</v>
      </c>
      <c r="T946" s="530">
        <f>SUM(SUMIFS(T:T,$D:$D,$D946,$E:$E,$E946,$F:$F,{"Serviced Accommodation","Non-Serviced Accommodation","SFR"}))</f>
        <v>6909.8916355997781</v>
      </c>
      <c r="U946" s="530" t="s">
        <v>59</v>
      </c>
    </row>
    <row r="947" spans="1:21" ht="12.75" customHeight="1" x14ac:dyDescent="0.3">
      <c r="A947" s="530" t="str">
        <f t="shared" si="34"/>
        <v>Conwy.2015.Visitor Days.Staying Visitor</v>
      </c>
      <c r="B947" s="530" t="s">
        <v>219</v>
      </c>
      <c r="C947" s="530" t="str">
        <f t="shared" si="35"/>
        <v>2015.Visitor Days.Staying Visitor</v>
      </c>
      <c r="D947" s="530" t="s">
        <v>234</v>
      </c>
      <c r="E947" s="530" t="s">
        <v>171</v>
      </c>
      <c r="F947" s="530" t="s">
        <v>140</v>
      </c>
      <c r="G947" s="530" t="s">
        <v>140</v>
      </c>
      <c r="H947" s="530">
        <f>SUM(SUMIFS(H:H,$D:$D,$D947,$E:$E,$E947,$F:$F,{"Serviced Accommodation","Non-Serviced Accommodation","SFR"}))</f>
        <v>195.81086401668213</v>
      </c>
      <c r="I947" s="530">
        <f>SUM(SUMIFS(I:I,$D:$D,$D947,$E:$E,$E947,$F:$F,{"Serviced Accommodation","Non-Serviced Accommodation","SFR"}))</f>
        <v>236.20494860984456</v>
      </c>
      <c r="J947" s="530">
        <f>SUM(SUMIFS(J:J,$D:$D,$D947,$E:$E,$E947,$F:$F,{"Serviced Accommodation","Non-Serviced Accommodation","SFR"}))</f>
        <v>720.26021602057779</v>
      </c>
      <c r="K947" s="530">
        <f>SUM(SUMIFS(K:K,$D:$D,$D947,$E:$E,$E947,$F:$F,{"Serviced Accommodation","Non-Serviced Accommodation","SFR"}))</f>
        <v>959.98368973305605</v>
      </c>
      <c r="L947" s="530">
        <f>SUM(SUMIFS(L:L,$D:$D,$D947,$E:$E,$E947,$F:$F,{"Serviced Accommodation","Non-Serviced Accommodation","SFR"}))</f>
        <v>1221.5352959607198</v>
      </c>
      <c r="M947" s="530">
        <f>SUM(SUMIFS(M:M,$D:$D,$D947,$E:$E,$E947,$F:$F,{"Serviced Accommodation","Non-Serviced Accommodation","SFR"}))</f>
        <v>1150.8307775571052</v>
      </c>
      <c r="N947" s="530">
        <f>SUM(SUMIFS(N:N,$D:$D,$D947,$E:$E,$E947,$F:$F,{"Serviced Accommodation","Non-Serviced Accommodation","SFR"}))</f>
        <v>1542.0364655069636</v>
      </c>
      <c r="O947" s="530">
        <f>SUM(SUMIFS(O:O,$D:$D,$D947,$E:$E,$E947,$F:$F,{"Serviced Accommodation","Non-Serviced Accommodation","SFR"}))</f>
        <v>1714.488821280725</v>
      </c>
      <c r="P947" s="530">
        <f>SUM(SUMIFS(P:P,$D:$D,$D947,$E:$E,$E947,$F:$F,{"Serviced Accommodation","Non-Serviced Accommodation","SFR"}))</f>
        <v>1108.1115282799819</v>
      </c>
      <c r="Q947" s="530">
        <f>SUM(SUMIFS(Q:Q,$D:$D,$D947,$E:$E,$E947,$F:$F,{"Serviced Accommodation","Non-Serviced Accommodation","SFR"}))</f>
        <v>879.86110620723855</v>
      </c>
      <c r="R947" s="530">
        <f>SUM(SUMIFS(R:R,$D:$D,$D947,$E:$E,$E947,$F:$F,{"Serviced Accommodation","Non-Serviced Accommodation","SFR"}))</f>
        <v>486.66455954696272</v>
      </c>
      <c r="S947" s="530">
        <f>SUM(SUMIFS(S:S,$D:$D,$D947,$E:$E,$E947,$F:$F,{"Serviced Accommodation","Non-Serviced Accommodation","SFR"}))</f>
        <v>217.87812663692341</v>
      </c>
      <c r="T947" s="530">
        <f>SUM(SUMIFS(T:T,$D:$D,$D947,$E:$E,$E947,$F:$F,{"Serviced Accommodation","Non-Serviced Accommodation","SFR"}))</f>
        <v>10433.66639935678</v>
      </c>
      <c r="U947" s="530" t="s">
        <v>61</v>
      </c>
    </row>
    <row r="948" spans="1:21" ht="12.75" customHeight="1" x14ac:dyDescent="0.3">
      <c r="A948" s="530" t="str">
        <f t="shared" si="34"/>
        <v>Conwy.2015.Visitor Numbers.Staying Visitor</v>
      </c>
      <c r="B948" s="530" t="s">
        <v>219</v>
      </c>
      <c r="C948" s="530" t="str">
        <f t="shared" si="35"/>
        <v>2015.Visitor Numbers.Staying Visitor</v>
      </c>
      <c r="D948" s="530" t="s">
        <v>234</v>
      </c>
      <c r="E948" s="530" t="s">
        <v>172</v>
      </c>
      <c r="F948" s="530" t="s">
        <v>140</v>
      </c>
      <c r="G948" s="530" t="s">
        <v>140</v>
      </c>
      <c r="H948" s="530">
        <f>SUM(SUMIFS(H:H,$D:$D,$D948,$E:$E,$E948,$F:$F,{"Serviced Accommodation","Non-Serviced Accommodation","SFR"}))</f>
        <v>94.463941434125701</v>
      </c>
      <c r="I948" s="530">
        <f>SUM(SUMIFS(I:I,$D:$D,$D948,$E:$E,$E948,$F:$F,{"Serviced Accommodation","Non-Serviced Accommodation","SFR"}))</f>
        <v>129.68335437691988</v>
      </c>
      <c r="J948" s="530">
        <f>SUM(SUMIFS(J:J,$D:$D,$D948,$E:$E,$E948,$F:$F,{"Serviced Accommodation","Non-Serviced Accommodation","SFR"}))</f>
        <v>194.3738955446818</v>
      </c>
      <c r="K948" s="530">
        <f>SUM(SUMIFS(K:K,$D:$D,$D948,$E:$E,$E948,$F:$F,{"Serviced Accommodation","Non-Serviced Accommodation","SFR"}))</f>
        <v>233.21978933563253</v>
      </c>
      <c r="L948" s="530">
        <f>SUM(SUMIFS(L:L,$D:$D,$D948,$E:$E,$E948,$F:$F,{"Serviced Accommodation","Non-Serviced Accommodation","SFR"}))</f>
        <v>285.06109556322764</v>
      </c>
      <c r="M948" s="530">
        <f>SUM(SUMIFS(M:M,$D:$D,$D948,$E:$E,$E948,$F:$F,{"Serviced Accommodation","Non-Serviced Accommodation","SFR"}))</f>
        <v>262.94416427675435</v>
      </c>
      <c r="N948" s="530">
        <f>SUM(SUMIFS(N:N,$D:$D,$D948,$E:$E,$E948,$F:$F,{"Serviced Accommodation","Non-Serviced Accommodation","SFR"}))</f>
        <v>326.68334740613432</v>
      </c>
      <c r="O948" s="530">
        <f>SUM(SUMIFS(O:O,$D:$D,$D948,$E:$E,$E948,$F:$F,{"Serviced Accommodation","Non-Serviced Accommodation","SFR"}))</f>
        <v>341.51027266028535</v>
      </c>
      <c r="P948" s="530">
        <f>SUM(SUMIFS(P:P,$D:$D,$D948,$E:$E,$E948,$F:$F,{"Serviced Accommodation","Non-Serviced Accommodation","SFR"}))</f>
        <v>233.64280489119182</v>
      </c>
      <c r="Q948" s="530">
        <f>SUM(SUMIFS(Q:Q,$D:$D,$D948,$E:$E,$E948,$F:$F,{"Serviced Accommodation","Non-Serviced Accommodation","SFR"}))</f>
        <v>214.2352110499084</v>
      </c>
      <c r="R948" s="530">
        <f>SUM(SUMIFS(R:R,$D:$D,$D948,$E:$E,$E948,$F:$F,{"Serviced Accommodation","Non-Serviced Accommodation","SFR"}))</f>
        <v>168.38322950154571</v>
      </c>
      <c r="S948" s="530">
        <f>SUM(SUMIFS(S:S,$D:$D,$D948,$E:$E,$E948,$F:$F,{"Serviced Accommodation","Non-Serviced Accommodation","SFR"}))</f>
        <v>93.448244010223462</v>
      </c>
      <c r="T948" s="530">
        <f>SUM(SUMIFS(T:T,$D:$D,$D948,$E:$E,$E948,$F:$F,{"Serviced Accommodation","Non-Serviced Accommodation","SFR"}))</f>
        <v>2577.6493500506313</v>
      </c>
      <c r="U948" s="530" t="s">
        <v>61</v>
      </c>
    </row>
    <row r="949" spans="1:21" ht="12.75" customHeight="1" x14ac:dyDescent="0.3">
      <c r="A949" s="530" t="str">
        <f t="shared" si="34"/>
        <v>Conwy.2015.Vehicle Days.Staying Visitor</v>
      </c>
      <c r="B949" s="530" t="s">
        <v>219</v>
      </c>
      <c r="C949" s="530" t="str">
        <f t="shared" si="35"/>
        <v>2015.Vehicle Days.Staying Visitor</v>
      </c>
      <c r="D949" s="530" t="s">
        <v>234</v>
      </c>
      <c r="E949" s="530" t="s">
        <v>21</v>
      </c>
      <c r="F949" s="530" t="s">
        <v>140</v>
      </c>
      <c r="G949" s="530" t="s">
        <v>140</v>
      </c>
      <c r="H949" s="530">
        <f>SUM(SUMIFS(H:H,$D:$D,$D949,$E:$E,$E949,$F:$F,{"Serviced Accommodation","Non-Serviced Accommodation","SFR"}))</f>
        <v>54.666211360013349</v>
      </c>
      <c r="I949" s="530">
        <f>SUM(SUMIFS(I:I,$D:$D,$D949,$E:$E,$E949,$F:$F,{"Serviced Accommodation","Non-Serviced Accommodation","SFR"}))</f>
        <v>79.910233705690587</v>
      </c>
      <c r="J949" s="530">
        <f>SUM(SUMIFS(J:J,$D:$D,$D949,$E:$E,$E949,$F:$F,{"Serviced Accommodation","Non-Serviced Accommodation","SFR"}))</f>
        <v>200.90294548821137</v>
      </c>
      <c r="K949" s="530">
        <f>SUM(SUMIFS(K:K,$D:$D,$D949,$E:$E,$E949,$F:$F,{"Serviced Accommodation","Non-Serviced Accommodation","SFR"}))</f>
        <v>250.96622434603196</v>
      </c>
      <c r="L949" s="530">
        <f>SUM(SUMIFS(L:L,$D:$D,$D949,$E:$E,$E949,$F:$F,{"Serviced Accommodation","Non-Serviced Accommodation","SFR"}))</f>
        <v>327.20255375874717</v>
      </c>
      <c r="M949" s="530">
        <f>SUM(SUMIFS(M:M,$D:$D,$D949,$E:$E,$E949,$F:$F,{"Serviced Accommodation","Non-Serviced Accommodation","SFR"}))</f>
        <v>303.83531151658246</v>
      </c>
      <c r="N949" s="530">
        <f>SUM(SUMIFS(N:N,$D:$D,$D949,$E:$E,$E949,$F:$F,{"Serviced Accommodation","Non-Serviced Accommodation","SFR"}))</f>
        <v>395.91904859403456</v>
      </c>
      <c r="O949" s="530">
        <f>SUM(SUMIFS(O:O,$D:$D,$D949,$E:$E,$E949,$F:$F,{"Serviced Accommodation","Non-Serviced Accommodation","SFR"}))</f>
        <v>439.31408509370846</v>
      </c>
      <c r="P949" s="530">
        <f>SUM(SUMIFS(P:P,$D:$D,$D949,$E:$E,$E949,$F:$F,{"Serviced Accommodation","Non-Serviced Accommodation","SFR"}))</f>
        <v>285.57452650770421</v>
      </c>
      <c r="Q949" s="530">
        <f>SUM(SUMIFS(Q:Q,$D:$D,$D949,$E:$E,$E949,$F:$F,{"Serviced Accommodation","Non-Serviced Accommodation","SFR"}))</f>
        <v>233.51924459059978</v>
      </c>
      <c r="R949" s="530">
        <f>SUM(SUMIFS(R:R,$D:$D,$D949,$E:$E,$E949,$F:$F,{"Serviced Accommodation","Non-Serviced Accommodation","SFR"}))</f>
        <v>133.57872060548652</v>
      </c>
      <c r="S949" s="530">
        <f>SUM(SUMIFS(S:S,$D:$D,$D949,$E:$E,$E949,$F:$F,{"Serviced Accommodation","Non-Serviced Accommodation","SFR"}))</f>
        <v>57.910180148994755</v>
      </c>
      <c r="T949" s="530">
        <f>SUM(SUMIFS(T:T,$D:$D,$D949,$E:$E,$E949,$F:$F,{"Serviced Accommodation","Non-Serviced Accommodation","SFR"}))</f>
        <v>2763.2992857158051</v>
      </c>
      <c r="U949" s="530" t="s">
        <v>61</v>
      </c>
    </row>
    <row r="950" spans="1:21" ht="12.75" customHeight="1" x14ac:dyDescent="0.3">
      <c r="A950" s="530" t="str">
        <f t="shared" si="34"/>
        <v>Conwy.2015.Vehicle Numbers.Staying Visitor</v>
      </c>
      <c r="B950" s="530" t="s">
        <v>219</v>
      </c>
      <c r="C950" s="530" t="str">
        <f t="shared" si="35"/>
        <v>2015.Vehicle Numbers.Staying Visitor</v>
      </c>
      <c r="D950" s="530" t="s">
        <v>234</v>
      </c>
      <c r="E950" s="530" t="s">
        <v>22</v>
      </c>
      <c r="F950" s="530" t="s">
        <v>140</v>
      </c>
      <c r="G950" s="530" t="s">
        <v>140</v>
      </c>
      <c r="H950" s="530">
        <f>SUM(SUMIFS(H:H,$D:$D,$D950,$E:$E,$E950,$F:$F,{"Serviced Accommodation","Non-Serviced Accommodation","SFR"}))</f>
        <v>25.835411951346618</v>
      </c>
      <c r="I950" s="530">
        <f>SUM(SUMIFS(I:I,$D:$D,$D950,$E:$E,$E950,$F:$F,{"Serviced Accommodation","Non-Serviced Accommodation","SFR"}))</f>
        <v>43.846902313973828</v>
      </c>
      <c r="J950" s="530">
        <f>SUM(SUMIFS(J:J,$D:$D,$D950,$E:$E,$E950,$F:$F,{"Serviced Accommodation","Non-Serviced Accommodation","SFR"}))</f>
        <v>57.358069575194321</v>
      </c>
      <c r="K950" s="530">
        <f>SUM(SUMIFS(K:K,$D:$D,$D950,$E:$E,$E950,$F:$F,{"Serviced Accommodation","Non-Serviced Accommodation","SFR"}))</f>
        <v>61.426639785869384</v>
      </c>
      <c r="L950" s="530">
        <f>SUM(SUMIFS(L:L,$D:$D,$D950,$E:$E,$E950,$F:$F,{"Serviced Accommodation","Non-Serviced Accommodation","SFR"}))</f>
        <v>77.587900598512164</v>
      </c>
      <c r="M950" s="530">
        <f>SUM(SUMIFS(M:M,$D:$D,$D950,$E:$E,$E950,$F:$F,{"Serviced Accommodation","Non-Serviced Accommodation","SFR"}))</f>
        <v>71.029830615475205</v>
      </c>
      <c r="N950" s="530">
        <f>SUM(SUMIFS(N:N,$D:$D,$D950,$E:$E,$E950,$F:$F,{"Serviced Accommodation","Non-Serviced Accommodation","SFR"}))</f>
        <v>84.742716347017492</v>
      </c>
      <c r="O950" s="530">
        <f>SUM(SUMIFS(O:O,$D:$D,$D950,$E:$E,$E950,$F:$F,{"Serviced Accommodation","Non-Serviced Accommodation","SFR"}))</f>
        <v>88.496014797057541</v>
      </c>
      <c r="P950" s="530">
        <f>SUM(SUMIFS(P:P,$D:$D,$D950,$E:$E,$E950,$F:$F,{"Serviced Accommodation","Non-Serviced Accommodation","SFR"}))</f>
        <v>60.726498908518948</v>
      </c>
      <c r="Q950" s="530">
        <f>SUM(SUMIFS(Q:Q,$D:$D,$D950,$E:$E,$E950,$F:$F,{"Serviced Accommodation","Non-Serviced Accommodation","SFR"}))</f>
        <v>60.505511505769078</v>
      </c>
      <c r="R950" s="530">
        <f>SUM(SUMIFS(R:R,$D:$D,$D950,$E:$E,$E950,$F:$F,{"Serviced Accommodation","Non-Serviced Accommodation","SFR"}))</f>
        <v>47.920101903133371</v>
      </c>
      <c r="S950" s="530">
        <f>SUM(SUMIFS(S:S,$D:$D,$D950,$E:$E,$E950,$F:$F,{"Serviced Accommodation","Non-Serviced Accommodation","SFR"}))</f>
        <v>25.085642910843482</v>
      </c>
      <c r="T950" s="530">
        <f>SUM(SUMIFS(T:T,$D:$D,$D950,$E:$E,$E950,$F:$F,{"Serviced Accommodation","Non-Serviced Accommodation","SFR"}))</f>
        <v>704.56124121271159</v>
      </c>
      <c r="U950" s="530" t="s">
        <v>61</v>
      </c>
    </row>
    <row r="951" spans="1:21" ht="12.75" customHeight="1" x14ac:dyDescent="0.3">
      <c r="A951" s="530" t="str">
        <f t="shared" si="34"/>
        <v>Conwy.2016.Economic Impact.Staying Visitor</v>
      </c>
      <c r="B951" s="530" t="s">
        <v>219</v>
      </c>
      <c r="C951" s="530" t="str">
        <f t="shared" si="35"/>
        <v>2016.Economic Impact.Staying Visitor</v>
      </c>
      <c r="D951" s="530" t="s">
        <v>235</v>
      </c>
      <c r="E951" s="530" t="s">
        <v>17</v>
      </c>
      <c r="F951" s="530" t="s">
        <v>140</v>
      </c>
      <c r="G951" s="530" t="s">
        <v>140</v>
      </c>
      <c r="H951" s="530">
        <f>SUM(SUMIFS(H:H,$D:$D,$D951,$E:$E,$E951,$F:$F,{"Serviced Accommodation","Non-Serviced Accommodation","SFR"}))</f>
        <v>13528.284872958831</v>
      </c>
      <c r="I951" s="530">
        <f>SUM(SUMIFS(I:I,$D:$D,$D951,$E:$E,$E951,$F:$F,{"Serviced Accommodation","Non-Serviced Accommodation","SFR"}))</f>
        <v>15653.340875391517</v>
      </c>
      <c r="J951" s="530">
        <f>SUM(SUMIFS(J:J,$D:$D,$D951,$E:$E,$E951,$F:$F,{"Serviced Accommodation","Non-Serviced Accommodation","SFR"}))</f>
        <v>37669.567291738291</v>
      </c>
      <c r="K951" s="530">
        <f>SUM(SUMIFS(K:K,$D:$D,$D951,$E:$E,$E951,$F:$F,{"Serviced Accommodation","Non-Serviced Accommodation","SFR"}))</f>
        <v>46391.905941604236</v>
      </c>
      <c r="L951" s="530">
        <f>SUM(SUMIFS(L:L,$D:$D,$D951,$E:$E,$E951,$F:$F,{"Serviced Accommodation","Non-Serviced Accommodation","SFR"}))</f>
        <v>50882.741959708226</v>
      </c>
      <c r="M951" s="530">
        <f>SUM(SUMIFS(M:M,$D:$D,$D951,$E:$E,$E951,$F:$F,{"Serviced Accommodation","Non-Serviced Accommodation","SFR"}))</f>
        <v>59378.364680745079</v>
      </c>
      <c r="N951" s="530">
        <f>SUM(SUMIFS(N:N,$D:$D,$D951,$E:$E,$E951,$F:$F,{"Serviced Accommodation","Non-Serviced Accommodation","SFR"}))</f>
        <v>76893.565052308157</v>
      </c>
      <c r="O951" s="530">
        <f>SUM(SUMIFS(O:O,$D:$D,$D951,$E:$E,$E951,$F:$F,{"Serviced Accommodation","Non-Serviced Accommodation","SFR"}))</f>
        <v>79982.39415530079</v>
      </c>
      <c r="P951" s="530">
        <f>SUM(SUMIFS(P:P,$D:$D,$D951,$E:$E,$E951,$F:$F,{"Serviced Accommodation","Non-Serviced Accommodation","SFR"}))</f>
        <v>59293.420801668726</v>
      </c>
      <c r="Q951" s="530">
        <f>SUM(SUMIFS(Q:Q,$D:$D,$D951,$E:$E,$E951,$F:$F,{"Serviced Accommodation","Non-Serviced Accommodation","SFR"}))</f>
        <v>37688.815690613774</v>
      </c>
      <c r="R951" s="530">
        <f>SUM(SUMIFS(R:R,$D:$D,$D951,$E:$E,$E951,$F:$F,{"Serviced Accommodation","Non-Serviced Accommodation","SFR"}))</f>
        <v>26595.86994057976</v>
      </c>
      <c r="S951" s="530">
        <f>SUM(SUMIFS(S:S,$D:$D,$D951,$E:$E,$E951,$F:$F,{"Serviced Accommodation","Non-Serviced Accommodation","SFR"}))</f>
        <v>18188.132909559881</v>
      </c>
      <c r="T951" s="530">
        <f>SUM(SUMIFS(T:T,$D:$D,$D951,$E:$E,$E951,$F:$F,{"Serviced Accommodation","Non-Serviced Accommodation","SFR"}))</f>
        <v>522146.40417217737</v>
      </c>
      <c r="U951" s="530" t="s">
        <v>57</v>
      </c>
    </row>
    <row r="952" spans="1:21" ht="12.75" customHeight="1" x14ac:dyDescent="0.3">
      <c r="A952" s="530" t="str">
        <f t="shared" si="34"/>
        <v>Conwy.2016.Employment.Staying Visitor</v>
      </c>
      <c r="B952" s="530" t="s">
        <v>219</v>
      </c>
      <c r="C952" s="530" t="str">
        <f t="shared" si="35"/>
        <v>2016.Employment.Staying Visitor</v>
      </c>
      <c r="D952" s="530" t="s">
        <v>235</v>
      </c>
      <c r="E952" s="530" t="s">
        <v>20</v>
      </c>
      <c r="F952" s="530" t="s">
        <v>140</v>
      </c>
      <c r="G952" s="530" t="s">
        <v>140</v>
      </c>
      <c r="H952" s="530">
        <f>SUM(SUMIFS(H:H,$D:$D,$D952,$E:$E,$E952,$F:$F,{"Serviced Accommodation","Non-Serviced Accommodation","SFR"}))</f>
        <v>3535.425435726243</v>
      </c>
      <c r="I952" s="530">
        <f>SUM(SUMIFS(I:I,$D:$D,$D952,$E:$E,$E952,$F:$F,{"Serviced Accommodation","Non-Serviced Accommodation","SFR"}))</f>
        <v>3729.2539577306748</v>
      </c>
      <c r="J952" s="530">
        <f>SUM(SUMIFS(J:J,$D:$D,$D952,$E:$E,$E952,$F:$F,{"Serviced Accommodation","Non-Serviced Accommodation","SFR"}))</f>
        <v>6448.5113594693594</v>
      </c>
      <c r="K952" s="530">
        <f>SUM(SUMIFS(K:K,$D:$D,$D952,$E:$E,$E952,$F:$F,{"Serviced Accommodation","Non-Serviced Accommodation","SFR"}))</f>
        <v>7476.7837538175063</v>
      </c>
      <c r="L952" s="530">
        <f>SUM(SUMIFS(L:L,$D:$D,$D952,$E:$E,$E952,$F:$F,{"Serviced Accommodation","Non-Serviced Accommodation","SFR"}))</f>
        <v>7755.9954948319428</v>
      </c>
      <c r="M952" s="530">
        <f>SUM(SUMIFS(M:M,$D:$D,$D952,$E:$E,$E952,$F:$F,{"Serviced Accommodation","Non-Serviced Accommodation","SFR"}))</f>
        <v>8827.0217475314494</v>
      </c>
      <c r="N952" s="530">
        <f>SUM(SUMIFS(N:N,$D:$D,$D952,$E:$E,$E952,$F:$F,{"Serviced Accommodation","Non-Serviced Accommodation","SFR"}))</f>
        <v>9823.3094631676122</v>
      </c>
      <c r="O952" s="530">
        <f>SUM(SUMIFS(O:O,$D:$D,$D952,$E:$E,$E952,$F:$F,{"Serviced Accommodation","Non-Serviced Accommodation","SFR"}))</f>
        <v>10106.676107780675</v>
      </c>
      <c r="P952" s="530">
        <f>SUM(SUMIFS(P:P,$D:$D,$D952,$E:$E,$E952,$F:$F,{"Serviced Accommodation","Non-Serviced Accommodation","SFR"}))</f>
        <v>7791.8928897096794</v>
      </c>
      <c r="Q952" s="530">
        <f>SUM(SUMIFS(Q:Q,$D:$D,$D952,$E:$E,$E952,$F:$F,{"Serviced Accommodation","Non-Serviced Accommodation","SFR"}))</f>
        <v>6653.1477881494093</v>
      </c>
      <c r="R952" s="530">
        <f>SUM(SUMIFS(R:R,$D:$D,$D952,$E:$E,$E952,$F:$F,{"Serviced Accommodation","Non-Serviced Accommodation","SFR"}))</f>
        <v>5039.8437764901064</v>
      </c>
      <c r="S952" s="530">
        <f>SUM(SUMIFS(S:S,$D:$D,$D952,$E:$E,$E952,$F:$F,{"Serviced Accommodation","Non-Serviced Accommodation","SFR"}))</f>
        <v>3948.8143698399535</v>
      </c>
      <c r="T952" s="530">
        <f>SUM(SUMIFS(T:T,$D:$D,$D952,$E:$E,$E952,$F:$F,{"Serviced Accommodation","Non-Serviced Accommodation","SFR"}))</f>
        <v>6761.3896786870519</v>
      </c>
      <c r="U952" s="530" t="s">
        <v>59</v>
      </c>
    </row>
    <row r="953" spans="1:21" ht="12.75" customHeight="1" x14ac:dyDescent="0.3">
      <c r="A953" s="530" t="str">
        <f t="shared" si="34"/>
        <v>Conwy.2016.Visitor Days.Staying Visitor</v>
      </c>
      <c r="B953" s="530" t="s">
        <v>219</v>
      </c>
      <c r="C953" s="530" t="str">
        <f t="shared" si="35"/>
        <v>2016.Visitor Days.Staying Visitor</v>
      </c>
      <c r="D953" s="530" t="s">
        <v>235</v>
      </c>
      <c r="E953" s="530" t="s">
        <v>171</v>
      </c>
      <c r="F953" s="530" t="s">
        <v>140</v>
      </c>
      <c r="G953" s="530" t="s">
        <v>140</v>
      </c>
      <c r="H953" s="530">
        <f>SUM(SUMIFS(H:H,$D:$D,$D953,$E:$E,$E953,$F:$F,{"Serviced Accommodation","Non-Serviced Accommodation","SFR"}))</f>
        <v>202.94367826425488</v>
      </c>
      <c r="I953" s="530">
        <f>SUM(SUMIFS(I:I,$D:$D,$D953,$E:$E,$E953,$F:$F,{"Serviced Accommodation","Non-Serviced Accommodation","SFR"}))</f>
        <v>206.58442679274219</v>
      </c>
      <c r="J953" s="530">
        <f>SUM(SUMIFS(J:J,$D:$D,$D953,$E:$E,$E953,$F:$F,{"Serviced Accommodation","Non-Serviced Accommodation","SFR"}))</f>
        <v>768.17683437653193</v>
      </c>
      <c r="K953" s="530">
        <f>SUM(SUMIFS(K:K,$D:$D,$D953,$E:$E,$E953,$F:$F,{"Serviced Accommodation","Non-Serviced Accommodation","SFR"}))</f>
        <v>977.527693387201</v>
      </c>
      <c r="L953" s="530">
        <f>SUM(SUMIFS(L:L,$D:$D,$D953,$E:$E,$E953,$F:$F,{"Serviced Accommodation","Non-Serviced Accommodation","SFR"}))</f>
        <v>1064.1404337608039</v>
      </c>
      <c r="M953" s="530">
        <f>SUM(SUMIFS(M:M,$D:$D,$D953,$E:$E,$E953,$F:$F,{"Serviced Accommodation","Non-Serviced Accommodation","SFR"}))</f>
        <v>1265.7065666357325</v>
      </c>
      <c r="N953" s="530">
        <f>SUM(SUMIFS(N:N,$D:$D,$D953,$E:$E,$E953,$F:$F,{"Serviced Accommodation","Non-Serviced Accommodation","SFR"}))</f>
        <v>1536.9807021978702</v>
      </c>
      <c r="O953" s="530">
        <f>SUM(SUMIFS(O:O,$D:$D,$D953,$E:$E,$E953,$F:$F,{"Serviced Accommodation","Non-Serviced Accommodation","SFR"}))</f>
        <v>1552.4175659283585</v>
      </c>
      <c r="P953" s="530">
        <f>SUM(SUMIFS(P:P,$D:$D,$D953,$E:$E,$E953,$F:$F,{"Serviced Accommodation","Non-Serviced Accommodation","SFR"}))</f>
        <v>1084.5976539390633</v>
      </c>
      <c r="Q953" s="530">
        <f>SUM(SUMIFS(Q:Q,$D:$D,$D953,$E:$E,$E953,$F:$F,{"Serviced Accommodation","Non-Serviced Accommodation","SFR"}))</f>
        <v>816.44067589587814</v>
      </c>
      <c r="R953" s="530">
        <f>SUM(SUMIFS(R:R,$D:$D,$D953,$E:$E,$E953,$F:$F,{"Serviced Accommodation","Non-Serviced Accommodation","SFR"}))</f>
        <v>477.4747130588633</v>
      </c>
      <c r="S953" s="530">
        <f>SUM(SUMIFS(S:S,$D:$D,$D953,$E:$E,$E953,$F:$F,{"Serviced Accommodation","Non-Serviced Accommodation","SFR"}))</f>
        <v>265.13520652565808</v>
      </c>
      <c r="T953" s="530">
        <f>SUM(SUMIFS(T:T,$D:$D,$D953,$E:$E,$E953,$F:$F,{"Serviced Accommodation","Non-Serviced Accommodation","SFR"}))</f>
        <v>10218.126150762959</v>
      </c>
      <c r="U953" s="530" t="s">
        <v>61</v>
      </c>
    </row>
    <row r="954" spans="1:21" ht="12.75" customHeight="1" x14ac:dyDescent="0.3">
      <c r="A954" s="530" t="str">
        <f t="shared" si="34"/>
        <v>Conwy.2016.Visitor Numbers.Staying Visitor</v>
      </c>
      <c r="B954" s="530" t="s">
        <v>219</v>
      </c>
      <c r="C954" s="530" t="str">
        <f t="shared" si="35"/>
        <v>2016.Visitor Numbers.Staying Visitor</v>
      </c>
      <c r="D954" s="530" t="s">
        <v>235</v>
      </c>
      <c r="E954" s="530" t="s">
        <v>172</v>
      </c>
      <c r="F954" s="530" t="s">
        <v>140</v>
      </c>
      <c r="G954" s="530" t="s">
        <v>140</v>
      </c>
      <c r="H954" s="530">
        <f>SUM(SUMIFS(H:H,$D:$D,$D954,$E:$E,$E954,$F:$F,{"Serviced Accommodation","Non-Serviced Accommodation","SFR"}))</f>
        <v>103.83668796514016</v>
      </c>
      <c r="I954" s="530">
        <f>SUM(SUMIFS(I:I,$D:$D,$D954,$E:$E,$E954,$F:$F,{"Serviced Accommodation","Non-Serviced Accommodation","SFR"}))</f>
        <v>112.24685964415423</v>
      </c>
      <c r="J954" s="530">
        <f>SUM(SUMIFS(J:J,$D:$D,$D954,$E:$E,$E954,$F:$F,{"Serviced Accommodation","Non-Serviced Accommodation","SFR"}))</f>
        <v>201.49118198611944</v>
      </c>
      <c r="K954" s="530">
        <f>SUM(SUMIFS(K:K,$D:$D,$D954,$E:$E,$E954,$F:$F,{"Serviced Accommodation","Non-Serviced Accommodation","SFR"}))</f>
        <v>224.02348384534918</v>
      </c>
      <c r="L954" s="530">
        <f>SUM(SUMIFS(L:L,$D:$D,$D954,$E:$E,$E954,$F:$F,{"Serviced Accommodation","Non-Serviced Accommodation","SFR"}))</f>
        <v>243.87930730854319</v>
      </c>
      <c r="M954" s="530">
        <f>SUM(SUMIFS(M:M,$D:$D,$D954,$E:$E,$E954,$F:$F,{"Serviced Accommodation","Non-Serviced Accommodation","SFR"}))</f>
        <v>256.11052166863243</v>
      </c>
      <c r="N954" s="530">
        <f>SUM(SUMIFS(N:N,$D:$D,$D954,$E:$E,$E954,$F:$F,{"Serviced Accommodation","Non-Serviced Accommodation","SFR"}))</f>
        <v>296.47470648497261</v>
      </c>
      <c r="O954" s="530">
        <f>SUM(SUMIFS(O:O,$D:$D,$D954,$E:$E,$E954,$F:$F,{"Serviced Accommodation","Non-Serviced Accommodation","SFR"}))</f>
        <v>303.79754373806759</v>
      </c>
      <c r="P954" s="530">
        <f>SUM(SUMIFS(P:P,$D:$D,$D954,$E:$E,$E954,$F:$F,{"Serviced Accommodation","Non-Serviced Accommodation","SFR"}))</f>
        <v>226.36130459759025</v>
      </c>
      <c r="Q954" s="530">
        <f>SUM(SUMIFS(Q:Q,$D:$D,$D954,$E:$E,$E954,$F:$F,{"Serviced Accommodation","Non-Serviced Accommodation","SFR"}))</f>
        <v>180.03130915366546</v>
      </c>
      <c r="R954" s="530">
        <f>SUM(SUMIFS(R:R,$D:$D,$D954,$E:$E,$E954,$F:$F,{"Serviced Accommodation","Non-Serviced Accommodation","SFR"}))</f>
        <v>164.88650249926505</v>
      </c>
      <c r="S954" s="530">
        <f>SUM(SUMIFS(S:S,$D:$D,$D954,$E:$E,$E954,$F:$F,{"Serviced Accommodation","Non-Serviced Accommodation","SFR"}))</f>
        <v>120.4770350005832</v>
      </c>
      <c r="T954" s="530">
        <f>SUM(SUMIFS(T:T,$D:$D,$D954,$E:$E,$E954,$F:$F,{"Serviced Accommodation","Non-Serviced Accommodation","SFR"}))</f>
        <v>2433.6164438920828</v>
      </c>
      <c r="U954" s="530" t="s">
        <v>61</v>
      </c>
    </row>
    <row r="955" spans="1:21" ht="12.75" customHeight="1" x14ac:dyDescent="0.3">
      <c r="A955" s="530" t="str">
        <f t="shared" si="34"/>
        <v>Conwy.2016.Vehicle Days.Staying Visitor</v>
      </c>
      <c r="B955" s="530" t="s">
        <v>219</v>
      </c>
      <c r="C955" s="530" t="str">
        <f t="shared" si="35"/>
        <v>2016.Vehicle Days.Staying Visitor</v>
      </c>
      <c r="D955" s="530" t="s">
        <v>235</v>
      </c>
      <c r="E955" s="530" t="s">
        <v>21</v>
      </c>
      <c r="F955" s="530" t="s">
        <v>140</v>
      </c>
      <c r="G955" s="530" t="s">
        <v>140</v>
      </c>
      <c r="H955" s="530">
        <f>SUM(SUMIFS(H:H,$D:$D,$D955,$E:$E,$E955,$F:$F,{"Serviced Accommodation","Non-Serviced Accommodation","SFR"}))</f>
        <v>56.199830260022097</v>
      </c>
      <c r="I955" s="530">
        <f>SUM(SUMIFS(I:I,$D:$D,$D955,$E:$E,$E955,$F:$F,{"Serviced Accommodation","Non-Serviced Accommodation","SFR"}))</f>
        <v>69.742246640268363</v>
      </c>
      <c r="J955" s="530">
        <f>SUM(SUMIFS(J:J,$D:$D,$D955,$E:$E,$E955,$F:$F,{"Serviced Accommodation","Non-Serviced Accommodation","SFR"}))</f>
        <v>214.49964194582779</v>
      </c>
      <c r="K955" s="530">
        <f>SUM(SUMIFS(K:K,$D:$D,$D955,$E:$E,$E955,$F:$F,{"Serviced Accommodation","Non-Serviced Accommodation","SFR"}))</f>
        <v>255.81295091081753</v>
      </c>
      <c r="L955" s="530">
        <f>SUM(SUMIFS(L:L,$D:$D,$D955,$E:$E,$E955,$F:$F,{"Serviced Accommodation","Non-Serviced Accommodation","SFR"}))</f>
        <v>278.22089137057242</v>
      </c>
      <c r="M955" s="530">
        <f>SUM(SUMIFS(M:M,$D:$D,$D955,$E:$E,$E955,$F:$F,{"Serviced Accommodation","Non-Serviced Accommodation","SFR"}))</f>
        <v>336.9526188580333</v>
      </c>
      <c r="N955" s="530">
        <f>SUM(SUMIFS(N:N,$D:$D,$D955,$E:$E,$E955,$F:$F,{"Serviced Accommodation","Non-Serviced Accommodation","SFR"}))</f>
        <v>396.03460911589383</v>
      </c>
      <c r="O955" s="530">
        <f>SUM(SUMIFS(O:O,$D:$D,$D955,$E:$E,$E955,$F:$F,{"Serviced Accommodation","Non-Serviced Accommodation","SFR"}))</f>
        <v>390.74504487958865</v>
      </c>
      <c r="P955" s="530">
        <f>SUM(SUMIFS(P:P,$D:$D,$D955,$E:$E,$E955,$F:$F,{"Serviced Accommodation","Non-Serviced Accommodation","SFR"}))</f>
        <v>277.42922451591164</v>
      </c>
      <c r="Q955" s="530">
        <f>SUM(SUMIFS(Q:Q,$D:$D,$D955,$E:$E,$E955,$F:$F,{"Serviced Accommodation","Non-Serviced Accommodation","SFR"}))</f>
        <v>214.15079622387958</v>
      </c>
      <c r="R955" s="530">
        <f>SUM(SUMIFS(R:R,$D:$D,$D955,$E:$E,$E955,$F:$F,{"Serviced Accommodation","Non-Serviced Accommodation","SFR"}))</f>
        <v>131.73831055441872</v>
      </c>
      <c r="S955" s="530">
        <f>SUM(SUMIFS(S:S,$D:$D,$D955,$E:$E,$E955,$F:$F,{"Serviced Accommodation","Non-Serviced Accommodation","SFR"}))</f>
        <v>69.754639949685526</v>
      </c>
      <c r="T955" s="530">
        <f>SUM(SUMIFS(T:T,$D:$D,$D955,$E:$E,$E955,$F:$F,{"Serviced Accommodation","Non-Serviced Accommodation","SFR"}))</f>
        <v>2691.2808052249193</v>
      </c>
      <c r="U955" s="530" t="s">
        <v>61</v>
      </c>
    </row>
    <row r="956" spans="1:21" ht="12.75" customHeight="1" x14ac:dyDescent="0.3">
      <c r="A956" s="530" t="str">
        <f t="shared" si="34"/>
        <v>Conwy.2016.Vehicle Numbers.Staying Visitor</v>
      </c>
      <c r="B956" s="530" t="s">
        <v>219</v>
      </c>
      <c r="C956" s="530" t="str">
        <f t="shared" si="35"/>
        <v>2016.Vehicle Numbers.Staying Visitor</v>
      </c>
      <c r="D956" s="530" t="s">
        <v>235</v>
      </c>
      <c r="E956" s="530" t="s">
        <v>22</v>
      </c>
      <c r="F956" s="530" t="s">
        <v>140</v>
      </c>
      <c r="G956" s="530" t="s">
        <v>140</v>
      </c>
      <c r="H956" s="530">
        <f>SUM(SUMIFS(H:H,$D:$D,$D956,$E:$E,$E956,$F:$F,{"Serviced Accommodation","Non-Serviced Accommodation","SFR"}))</f>
        <v>28.140985328208842</v>
      </c>
      <c r="I956" s="530">
        <f>SUM(SUMIFS(I:I,$D:$D,$D956,$E:$E,$E956,$F:$F,{"Serviced Accommodation","Non-Serviced Accommodation","SFR"}))</f>
        <v>37.900073922539349</v>
      </c>
      <c r="J956" s="530">
        <f>SUM(SUMIFS(J:J,$D:$D,$D956,$E:$E,$E956,$F:$F,{"Serviced Accommodation","Non-Serviced Accommodation","SFR"}))</f>
        <v>59.17170220249966</v>
      </c>
      <c r="K956" s="530">
        <f>SUM(SUMIFS(K:K,$D:$D,$D956,$E:$E,$E956,$F:$F,{"Serviced Accommodation","Non-Serviced Accommodation","SFR"}))</f>
        <v>59.084610515461982</v>
      </c>
      <c r="L956" s="530">
        <f>SUM(SUMIFS(L:L,$D:$D,$D956,$E:$E,$E956,$F:$F,{"Serviced Accommodation","Non-Serviced Accommodation","SFR"}))</f>
        <v>65.513002103894223</v>
      </c>
      <c r="M956" s="530">
        <f>SUM(SUMIFS(M:M,$D:$D,$D956,$E:$E,$E956,$F:$F,{"Serviced Accommodation","Non-Serviced Accommodation","SFR"}))</f>
        <v>69.301004193775697</v>
      </c>
      <c r="N956" s="530">
        <f>SUM(SUMIFS(N:N,$D:$D,$D956,$E:$E,$E956,$F:$F,{"Serviced Accommodation","Non-Serviced Accommodation","SFR"}))</f>
        <v>77.099978470334264</v>
      </c>
      <c r="O956" s="530">
        <f>SUM(SUMIFS(O:O,$D:$D,$D956,$E:$E,$E956,$F:$F,{"Serviced Accommodation","Non-Serviced Accommodation","SFR"}))</f>
        <v>77.852230475178416</v>
      </c>
      <c r="P956" s="530">
        <f>SUM(SUMIFS(P:P,$D:$D,$D956,$E:$E,$E956,$F:$F,{"Serviced Accommodation","Non-Serviced Accommodation","SFR"}))</f>
        <v>58.544701543150111</v>
      </c>
      <c r="Q956" s="530">
        <f>SUM(SUMIFS(Q:Q,$D:$D,$D956,$E:$E,$E956,$F:$F,{"Serviced Accommodation","Non-Serviced Accommodation","SFR"}))</f>
        <v>50.120078519185739</v>
      </c>
      <c r="R956" s="530">
        <f>SUM(SUMIFS(R:R,$D:$D,$D956,$E:$E,$E956,$F:$F,{"Serviced Accommodation","Non-Serviced Accommodation","SFR"}))</f>
        <v>47.289552956306373</v>
      </c>
      <c r="S956" s="530">
        <f>SUM(SUMIFS(S:S,$D:$D,$D956,$E:$E,$E956,$F:$F,{"Serviced Accommodation","Non-Serviced Accommodation","SFR"}))</f>
        <v>32.035717440680358</v>
      </c>
      <c r="T956" s="530">
        <f>SUM(SUMIFS(T:T,$D:$D,$D956,$E:$E,$E956,$F:$F,{"Serviced Accommodation","Non-Serviced Accommodation","SFR"}))</f>
        <v>662.05363767121503</v>
      </c>
      <c r="U956" s="530" t="s">
        <v>61</v>
      </c>
    </row>
    <row r="957" spans="1:21" ht="12.75" customHeight="1" x14ac:dyDescent="0.3">
      <c r="A957" s="530" t="str">
        <f t="shared" si="34"/>
        <v>Conwy.2017.Economic Impact.Staying Visitor</v>
      </c>
      <c r="B957" s="530" t="s">
        <v>219</v>
      </c>
      <c r="C957" s="530" t="str">
        <f t="shared" si="35"/>
        <v>2017.Economic Impact.Staying Visitor</v>
      </c>
      <c r="D957" s="530" t="s">
        <v>236</v>
      </c>
      <c r="E957" s="530" t="s">
        <v>17</v>
      </c>
      <c r="F957" s="530" t="s">
        <v>140</v>
      </c>
      <c r="G957" s="530" t="s">
        <v>140</v>
      </c>
      <c r="H957" s="530">
        <f>SUM(SUMIFS(H:H,$D:$D,$D957,$E:$E,$E957,$F:$F,{"Serviced Accommodation","Non-Serviced Accommodation","SFR"}))</f>
        <v>16412.647799922746</v>
      </c>
      <c r="I957" s="530">
        <f>SUM(SUMIFS(I:I,$D:$D,$D957,$E:$E,$E957,$F:$F,{"Serviced Accommodation","Non-Serviced Accommodation","SFR"}))</f>
        <v>18805.668556529508</v>
      </c>
      <c r="J957" s="530">
        <f>SUM(SUMIFS(J:J,$D:$D,$D957,$E:$E,$E957,$F:$F,{"Serviced Accommodation","Non-Serviced Accommodation","SFR"}))</f>
        <v>38953.361258668905</v>
      </c>
      <c r="K957" s="530">
        <f>SUM(SUMIFS(K:K,$D:$D,$D957,$E:$E,$E957,$F:$F,{"Serviced Accommodation","Non-Serviced Accommodation","SFR"}))</f>
        <v>57143.618423727967</v>
      </c>
      <c r="L957" s="530">
        <f>SUM(SUMIFS(L:L,$D:$D,$D957,$E:$E,$E957,$F:$F,{"Serviced Accommodation","Non-Serviced Accommodation","SFR"}))</f>
        <v>57026.323962054346</v>
      </c>
      <c r="M957" s="530">
        <f>SUM(SUMIFS(M:M,$D:$D,$D957,$E:$E,$E957,$F:$F,{"Serviced Accommodation","Non-Serviced Accommodation","SFR"}))</f>
        <v>60224.152188251122</v>
      </c>
      <c r="N957" s="530">
        <f>SUM(SUMIFS(N:N,$D:$D,$D957,$E:$E,$E957,$F:$F,{"Serviced Accommodation","Non-Serviced Accommodation","SFR"}))</f>
        <v>79419.850439767528</v>
      </c>
      <c r="O957" s="530">
        <f>SUM(SUMIFS(O:O,$D:$D,$D957,$E:$E,$E957,$F:$F,{"Serviced Accommodation","Non-Serviced Accommodation","SFR"}))</f>
        <v>81624.815230032356</v>
      </c>
      <c r="P957" s="530">
        <f>SUM(SUMIFS(P:P,$D:$D,$D957,$E:$E,$E957,$F:$F,{"Serviced Accommodation","Non-Serviced Accommodation","SFR"}))</f>
        <v>61093.839875681784</v>
      </c>
      <c r="Q957" s="530">
        <f>SUM(SUMIFS(Q:Q,$D:$D,$D957,$E:$E,$E957,$F:$F,{"Serviced Accommodation","Non-Serviced Accommodation","SFR"}))</f>
        <v>46658.463659668974</v>
      </c>
      <c r="R957" s="530">
        <f>SUM(SUMIFS(R:R,$D:$D,$D957,$E:$E,$E957,$F:$F,{"Serviced Accommodation","Non-Serviced Accommodation","SFR"}))</f>
        <v>27148.552577152874</v>
      </c>
      <c r="S957" s="530">
        <f>SUM(SUMIFS(S:S,$D:$D,$D957,$E:$E,$E957,$F:$F,{"Serviced Accommodation","Non-Serviced Accommodation","SFR"}))</f>
        <v>17484.083358860429</v>
      </c>
      <c r="T957" s="530">
        <f>SUM(SUMIFS(T:T,$D:$D,$D957,$E:$E,$E957,$F:$F,{"Serviced Accommodation","Non-Serviced Accommodation","SFR"}))</f>
        <v>561995.37733031856</v>
      </c>
      <c r="U957" s="530" t="s">
        <v>57</v>
      </c>
    </row>
    <row r="958" spans="1:21" ht="12.75" customHeight="1" x14ac:dyDescent="0.3">
      <c r="A958" s="530" t="str">
        <f t="shared" si="34"/>
        <v>Conwy.2017.Employment.Staying Visitor</v>
      </c>
      <c r="B958" s="530" t="s">
        <v>219</v>
      </c>
      <c r="C958" s="530" t="str">
        <f t="shared" si="35"/>
        <v>2017.Employment.Staying Visitor</v>
      </c>
      <c r="D958" s="530" t="s">
        <v>236</v>
      </c>
      <c r="E958" s="530" t="s">
        <v>20</v>
      </c>
      <c r="F958" s="530" t="s">
        <v>140</v>
      </c>
      <c r="G958" s="530" t="s">
        <v>140</v>
      </c>
      <c r="H958" s="530">
        <f>SUM(SUMIFS(H:H,$D:$D,$D958,$E:$E,$E958,$F:$F,{"Serviced Accommodation","Non-Serviced Accommodation","SFR"}))</f>
        <v>3675.0101006612736</v>
      </c>
      <c r="I958" s="530">
        <f>SUM(SUMIFS(I:I,$D:$D,$D958,$E:$E,$E958,$F:$F,{"Serviced Accommodation","Non-Serviced Accommodation","SFR"}))</f>
        <v>3885.952525748603</v>
      </c>
      <c r="J958" s="530">
        <f>SUM(SUMIFS(J:J,$D:$D,$D958,$E:$E,$E958,$F:$F,{"Serviced Accommodation","Non-Serviced Accommodation","SFR"}))</f>
        <v>6373.6613124864361</v>
      </c>
      <c r="K958" s="530">
        <f>SUM(SUMIFS(K:K,$D:$D,$D958,$E:$E,$E958,$F:$F,{"Serviced Accommodation","Non-Serviced Accommodation","SFR"}))</f>
        <v>8127.6334442590833</v>
      </c>
      <c r="L958" s="530">
        <f>SUM(SUMIFS(L:L,$D:$D,$D958,$E:$E,$E958,$F:$F,{"Serviced Accommodation","Non-Serviced Accommodation","SFR"}))</f>
        <v>8013.994733787561</v>
      </c>
      <c r="M958" s="530">
        <f>SUM(SUMIFS(M:M,$D:$D,$D958,$E:$E,$E958,$F:$F,{"Serviced Accommodation","Non-Serviced Accommodation","SFR"}))</f>
        <v>8410.6742918639102</v>
      </c>
      <c r="N958" s="530">
        <f>SUM(SUMIFS(N:N,$D:$D,$D958,$E:$E,$E958,$F:$F,{"Serviced Accommodation","Non-Serviced Accommodation","SFR"}))</f>
        <v>9478.2419905815168</v>
      </c>
      <c r="O958" s="530">
        <f>SUM(SUMIFS(O:O,$D:$D,$D958,$E:$E,$E958,$F:$F,{"Serviced Accommodation","Non-Serviced Accommodation","SFR"}))</f>
        <v>9988.1791419602832</v>
      </c>
      <c r="P958" s="530">
        <f>SUM(SUMIFS(P:P,$D:$D,$D958,$E:$E,$E958,$F:$F,{"Serviced Accommodation","Non-Serviced Accommodation","SFR"}))</f>
        <v>7604.3908283106402</v>
      </c>
      <c r="Q958" s="530">
        <f>SUM(SUMIFS(Q:Q,$D:$D,$D958,$E:$E,$E958,$F:$F,{"Serviced Accommodation","Non-Serviced Accommodation","SFR"}))</f>
        <v>7201.0183896913477</v>
      </c>
      <c r="R958" s="530">
        <f>SUM(SUMIFS(R:R,$D:$D,$D958,$E:$E,$E958,$F:$F,{"Serviced Accommodation","Non-Serviced Accommodation","SFR"}))</f>
        <v>4934.5428286243723</v>
      </c>
      <c r="S958" s="530">
        <f>SUM(SUMIFS(S:S,$D:$D,$D958,$E:$E,$E958,$F:$F,{"Serviced Accommodation","Non-Serviced Accommodation","SFR"}))</f>
        <v>3869.5842829622247</v>
      </c>
      <c r="T958" s="530">
        <f>SUM(SUMIFS(T:T,$D:$D,$D958,$E:$E,$E958,$F:$F,{"Serviced Accommodation","Non-Serviced Accommodation","SFR"}))</f>
        <v>6796.9069892447706</v>
      </c>
      <c r="U958" s="530" t="s">
        <v>59</v>
      </c>
    </row>
    <row r="959" spans="1:21" ht="12.75" customHeight="1" x14ac:dyDescent="0.3">
      <c r="A959" s="530" t="str">
        <f t="shared" si="34"/>
        <v>Conwy.2017.Visitor Days.Staying Visitor</v>
      </c>
      <c r="B959" s="530" t="s">
        <v>219</v>
      </c>
      <c r="C959" s="530" t="str">
        <f t="shared" si="35"/>
        <v>2017.Visitor Days.Staying Visitor</v>
      </c>
      <c r="D959" s="530" t="s">
        <v>236</v>
      </c>
      <c r="E959" s="530" t="s">
        <v>171</v>
      </c>
      <c r="F959" s="530" t="s">
        <v>140</v>
      </c>
      <c r="G959" s="530" t="s">
        <v>140</v>
      </c>
      <c r="H959" s="530">
        <f>SUM(SUMIFS(H:H,$D:$D,$D959,$E:$E,$E959,$F:$F,{"Serviced Accommodation","Non-Serviced Accommodation","SFR"}))</f>
        <v>237.22702747932971</v>
      </c>
      <c r="I959" s="530">
        <f>SUM(SUMIFS(I:I,$D:$D,$D959,$E:$E,$E959,$F:$F,{"Serviced Accommodation","Non-Serviced Accommodation","SFR"}))</f>
        <v>243.40067132135033</v>
      </c>
      <c r="J959" s="530">
        <f>SUM(SUMIFS(J:J,$D:$D,$D959,$E:$E,$E959,$F:$F,{"Serviced Accommodation","Non-Serviced Accommodation","SFR"}))</f>
        <v>779.80640056385198</v>
      </c>
      <c r="K959" s="530">
        <f>SUM(SUMIFS(K:K,$D:$D,$D959,$E:$E,$E959,$F:$F,{"Serviced Accommodation","Non-Serviced Accommodation","SFR"}))</f>
        <v>1155.9792347499811</v>
      </c>
      <c r="L959" s="530">
        <f>SUM(SUMIFS(L:L,$D:$D,$D959,$E:$E,$E959,$F:$F,{"Serviced Accommodation","Non-Serviced Accommodation","SFR"}))</f>
        <v>1169.6330727359643</v>
      </c>
      <c r="M959" s="530">
        <f>SUM(SUMIFS(M:M,$D:$D,$D959,$E:$E,$E959,$F:$F,{"Serviced Accommodation","Non-Serviced Accommodation","SFR"}))</f>
        <v>1231.7614707454604</v>
      </c>
      <c r="N959" s="530">
        <f>SUM(SUMIFS(N:N,$D:$D,$D959,$E:$E,$E959,$F:$F,{"Serviced Accommodation","Non-Serviced Accommodation","SFR"}))</f>
        <v>1517.9538984205901</v>
      </c>
      <c r="O959" s="530">
        <f>SUM(SUMIFS(O:O,$D:$D,$D959,$E:$E,$E959,$F:$F,{"Serviced Accommodation","Non-Serviced Accommodation","SFR"}))</f>
        <v>1534.3117379409482</v>
      </c>
      <c r="P959" s="530">
        <f>SUM(SUMIFS(P:P,$D:$D,$D959,$E:$E,$E959,$F:$F,{"Serviced Accommodation","Non-Serviced Accommodation","SFR"}))</f>
        <v>1084.6174929603262</v>
      </c>
      <c r="Q959" s="530">
        <f>SUM(SUMIFS(Q:Q,$D:$D,$D959,$E:$E,$E959,$F:$F,{"Serviced Accommodation","Non-Serviced Accommodation","SFR"}))</f>
        <v>988.01033783233163</v>
      </c>
      <c r="R959" s="530">
        <f>SUM(SUMIFS(R:R,$D:$D,$D959,$E:$E,$E959,$F:$F,{"Serviced Accommodation","Non-Serviced Accommodation","SFR"}))</f>
        <v>471.88751614026535</v>
      </c>
      <c r="S959" s="530">
        <f>SUM(SUMIFS(S:S,$D:$D,$D959,$E:$E,$E959,$F:$F,{"Serviced Accommodation","Non-Serviced Accommodation","SFR"}))</f>
        <v>254.50574164531696</v>
      </c>
      <c r="T959" s="530">
        <f>SUM(SUMIFS(T:T,$D:$D,$D959,$E:$E,$E959,$F:$F,{"Serviced Accommodation","Non-Serviced Accommodation","SFR"}))</f>
        <v>10669.094602535717</v>
      </c>
      <c r="U959" s="530" t="s">
        <v>61</v>
      </c>
    </row>
    <row r="960" spans="1:21" ht="12.75" customHeight="1" x14ac:dyDescent="0.3">
      <c r="A960" s="530" t="str">
        <f t="shared" si="34"/>
        <v>Conwy.2017.Visitor Numbers.Staying Visitor</v>
      </c>
      <c r="B960" s="530" t="s">
        <v>219</v>
      </c>
      <c r="C960" s="530" t="str">
        <f t="shared" si="35"/>
        <v>2017.Visitor Numbers.Staying Visitor</v>
      </c>
      <c r="D960" s="530" t="s">
        <v>236</v>
      </c>
      <c r="E960" s="530" t="s">
        <v>172</v>
      </c>
      <c r="F960" s="530" t="s">
        <v>140</v>
      </c>
      <c r="G960" s="530" t="s">
        <v>140</v>
      </c>
      <c r="H960" s="530">
        <f>SUM(SUMIFS(H:H,$D:$D,$D960,$E:$E,$E960,$F:$F,{"Serviced Accommodation","Non-Serviced Accommodation","SFR"}))</f>
        <v>117.26593186589895</v>
      </c>
      <c r="I960" s="530">
        <f>SUM(SUMIFS(I:I,$D:$D,$D960,$E:$E,$E960,$F:$F,{"Serviced Accommodation","Non-Serviced Accommodation","SFR"}))</f>
        <v>126.385895203788</v>
      </c>
      <c r="J960" s="530">
        <f>SUM(SUMIFS(J:J,$D:$D,$D960,$E:$E,$E960,$F:$F,{"Serviced Accommodation","Non-Serviced Accommodation","SFR"}))</f>
        <v>202.1183706604325</v>
      </c>
      <c r="K960" s="530">
        <f>SUM(SUMIFS(K:K,$D:$D,$D960,$E:$E,$E960,$F:$F,{"Serviced Accommodation","Non-Serviced Accommodation","SFR"}))</f>
        <v>255.18826494791372</v>
      </c>
      <c r="L960" s="530">
        <f>SUM(SUMIFS(L:L,$D:$D,$D960,$E:$E,$E960,$F:$F,{"Serviced Accommodation","Non-Serviced Accommodation","SFR"}))</f>
        <v>256.47354145147312</v>
      </c>
      <c r="M960" s="530">
        <f>SUM(SUMIFS(M:M,$D:$D,$D960,$E:$E,$E960,$F:$F,{"Serviced Accommodation","Non-Serviced Accommodation","SFR"}))</f>
        <v>253.11831647738296</v>
      </c>
      <c r="N960" s="530">
        <f>SUM(SUMIFS(N:N,$D:$D,$D960,$E:$E,$E960,$F:$F,{"Serviced Accommodation","Non-Serviced Accommodation","SFR"}))</f>
        <v>296.2269440489053</v>
      </c>
      <c r="O960" s="530">
        <f>SUM(SUMIFS(O:O,$D:$D,$D960,$E:$E,$E960,$F:$F,{"Serviced Accommodation","Non-Serviced Accommodation","SFR"}))</f>
        <v>295.86693364138142</v>
      </c>
      <c r="P960" s="530">
        <f>SUM(SUMIFS(P:P,$D:$D,$D960,$E:$E,$E960,$F:$F,{"Serviced Accommodation","Non-Serviced Accommodation","SFR"}))</f>
        <v>220.30573018921558</v>
      </c>
      <c r="Q960" s="530">
        <f>SUM(SUMIFS(Q:Q,$D:$D,$D960,$E:$E,$E960,$F:$F,{"Serviced Accommodation","Non-Serviced Accommodation","SFR"}))</f>
        <v>199.43882064563712</v>
      </c>
      <c r="R960" s="530">
        <f>SUM(SUMIFS(R:R,$D:$D,$D960,$E:$E,$E960,$F:$F,{"Serviced Accommodation","Non-Serviced Accommodation","SFR"}))</f>
        <v>161.36675401393802</v>
      </c>
      <c r="S960" s="530">
        <f>SUM(SUMIFS(S:S,$D:$D,$D960,$E:$E,$E960,$F:$F,{"Serviced Accommodation","Non-Serviced Accommodation","SFR"}))</f>
        <v>104.63067453684216</v>
      </c>
      <c r="T960" s="530">
        <f>SUM(SUMIFS(T:T,$D:$D,$D960,$E:$E,$E960,$F:$F,{"Serviced Accommodation","Non-Serviced Accommodation","SFR"}))</f>
        <v>2488.3861776828089</v>
      </c>
      <c r="U960" s="530" t="s">
        <v>61</v>
      </c>
    </row>
    <row r="961" spans="1:21" ht="12.75" customHeight="1" x14ac:dyDescent="0.3">
      <c r="A961" s="530" t="str">
        <f t="shared" si="34"/>
        <v>Conwy.2017.Vehicle Days.Staying Visitor</v>
      </c>
      <c r="B961" s="530" t="s">
        <v>219</v>
      </c>
      <c r="C961" s="530" t="str">
        <f t="shared" si="35"/>
        <v>2017.Vehicle Days.Staying Visitor</v>
      </c>
      <c r="D961" s="530" t="s">
        <v>236</v>
      </c>
      <c r="E961" s="530" t="s">
        <v>21</v>
      </c>
      <c r="F961" s="530" t="s">
        <v>140</v>
      </c>
      <c r="G961" s="530" t="s">
        <v>140</v>
      </c>
      <c r="H961" s="530">
        <f>SUM(SUMIFS(H:H,$D:$D,$D961,$E:$E,$E961,$F:$F,{"Serviced Accommodation","Non-Serviced Accommodation","SFR"}))</f>
        <v>65.624770932876814</v>
      </c>
      <c r="I961" s="530">
        <f>SUM(SUMIFS(I:I,$D:$D,$D961,$E:$E,$E961,$F:$F,{"Serviced Accommodation","Non-Serviced Accommodation","SFR"}))</f>
        <v>82.64047245497639</v>
      </c>
      <c r="J961" s="530">
        <f>SUM(SUMIFS(J:J,$D:$D,$D961,$E:$E,$E961,$F:$F,{"Serviced Accommodation","Non-Serviced Accommodation","SFR"}))</f>
        <v>216.34379937140946</v>
      </c>
      <c r="K961" s="530">
        <f>SUM(SUMIFS(K:K,$D:$D,$D961,$E:$E,$E961,$F:$F,{"Serviced Accommodation","Non-Serviced Accommodation","SFR"}))</f>
        <v>303.30085121400907</v>
      </c>
      <c r="L961" s="530">
        <f>SUM(SUMIFS(L:L,$D:$D,$D961,$E:$E,$E961,$F:$F,{"Serviced Accommodation","Non-Serviced Accommodation","SFR"}))</f>
        <v>305.49881245203824</v>
      </c>
      <c r="M961" s="530">
        <f>SUM(SUMIFS(M:M,$D:$D,$D961,$E:$E,$E961,$F:$F,{"Serviced Accommodation","Non-Serviced Accommodation","SFR"}))</f>
        <v>327.92419793700799</v>
      </c>
      <c r="N961" s="530">
        <f>SUM(SUMIFS(N:N,$D:$D,$D961,$E:$E,$E961,$F:$F,{"Serviced Accommodation","Non-Serviced Accommodation","SFR"}))</f>
        <v>389.27230960353847</v>
      </c>
      <c r="O961" s="530">
        <f>SUM(SUMIFS(O:O,$D:$D,$D961,$E:$E,$E961,$F:$F,{"Serviced Accommodation","Non-Serviced Accommodation","SFR"}))</f>
        <v>385.42779902637369</v>
      </c>
      <c r="P961" s="530">
        <f>SUM(SUMIFS(P:P,$D:$D,$D961,$E:$E,$E961,$F:$F,{"Serviced Accommodation","Non-Serviced Accommodation","SFR"}))</f>
        <v>279.2457680452161</v>
      </c>
      <c r="Q961" s="530">
        <f>SUM(SUMIFS(Q:Q,$D:$D,$D961,$E:$E,$E961,$F:$F,{"Serviced Accommodation","Non-Serviced Accommodation","SFR"}))</f>
        <v>257.85494160511877</v>
      </c>
      <c r="R961" s="530">
        <f>SUM(SUMIFS(R:R,$D:$D,$D961,$E:$E,$E961,$F:$F,{"Serviced Accommodation","Non-Serviced Accommodation","SFR"}))</f>
        <v>130.29434326368059</v>
      </c>
      <c r="S961" s="530">
        <f>SUM(SUMIFS(S:S,$D:$D,$D961,$E:$E,$E961,$F:$F,{"Serviced Accommodation","Non-Serviced Accommodation","SFR"}))</f>
        <v>66.033556989129337</v>
      </c>
      <c r="T961" s="530">
        <f>SUM(SUMIFS(T:T,$D:$D,$D961,$E:$E,$E961,$F:$F,{"Serviced Accommodation","Non-Serviced Accommodation","SFR"}))</f>
        <v>2809.4616228953755</v>
      </c>
      <c r="U961" s="530" t="s">
        <v>61</v>
      </c>
    </row>
    <row r="962" spans="1:21" ht="12.75" customHeight="1" x14ac:dyDescent="0.3">
      <c r="A962" s="530" t="str">
        <f t="shared" si="34"/>
        <v>Conwy.2017.Vehicle Numbers.Staying Visitor</v>
      </c>
      <c r="B962" s="530" t="s">
        <v>219</v>
      </c>
      <c r="C962" s="530" t="str">
        <f t="shared" si="35"/>
        <v>2017.Vehicle Numbers.Staying Visitor</v>
      </c>
      <c r="D962" s="530" t="s">
        <v>236</v>
      </c>
      <c r="E962" s="530" t="s">
        <v>22</v>
      </c>
      <c r="F962" s="530" t="s">
        <v>140</v>
      </c>
      <c r="G962" s="530" t="s">
        <v>140</v>
      </c>
      <c r="H962" s="530">
        <f>SUM(SUMIFS(H:H,$D:$D,$D962,$E:$E,$E962,$F:$F,{"Serviced Accommodation","Non-Serviced Accommodation","SFR"}))</f>
        <v>31.769443080414806</v>
      </c>
      <c r="I962" s="530">
        <f>SUM(SUMIFS(I:I,$D:$D,$D962,$E:$E,$E962,$F:$F,{"Serviced Accommodation","Non-Serviced Accommodation","SFR"}))</f>
        <v>42.796922952940037</v>
      </c>
      <c r="J962" s="530">
        <f>SUM(SUMIFS(J:J,$D:$D,$D962,$E:$E,$E962,$F:$F,{"Serviced Accommodation","Non-Serviced Accommodation","SFR"}))</f>
        <v>58.917517596576012</v>
      </c>
      <c r="K962" s="530">
        <f>SUM(SUMIFS(K:K,$D:$D,$D962,$E:$E,$E962,$F:$F,{"Serviced Accommodation","Non-Serviced Accommodation","SFR"}))</f>
        <v>67.361148984744034</v>
      </c>
      <c r="L962" s="530">
        <f>SUM(SUMIFS(L:L,$D:$D,$D962,$E:$E,$E962,$F:$F,{"Serviced Accommodation","Non-Serviced Accommodation","SFR"}))</f>
        <v>68.734397888244146</v>
      </c>
      <c r="M962" s="530">
        <f>SUM(SUMIFS(M:M,$D:$D,$D962,$E:$E,$E962,$F:$F,{"Serviced Accommodation","Non-Serviced Accommodation","SFR"}))</f>
        <v>68.534606569723508</v>
      </c>
      <c r="N962" s="530">
        <f>SUM(SUMIFS(N:N,$D:$D,$D962,$E:$E,$E962,$F:$F,{"Serviced Accommodation","Non-Serviced Accommodation","SFR"}))</f>
        <v>76.785021684985054</v>
      </c>
      <c r="O962" s="530">
        <f>SUM(SUMIFS(O:O,$D:$D,$D962,$E:$E,$E962,$F:$F,{"Serviced Accommodation","Non-Serviced Accommodation","SFR"}))</f>
        <v>75.714430160915882</v>
      </c>
      <c r="P962" s="530">
        <f>SUM(SUMIFS(P:P,$D:$D,$D962,$E:$E,$E962,$F:$F,{"Serviced Accommodation","Non-Serviced Accommodation","SFR"}))</f>
        <v>57.235900518796775</v>
      </c>
      <c r="Q962" s="530">
        <f>SUM(SUMIFS(Q:Q,$D:$D,$D962,$E:$E,$E962,$F:$F,{"Serviced Accommodation","Non-Serviced Accommodation","SFR"}))</f>
        <v>54.837304378821344</v>
      </c>
      <c r="R962" s="530">
        <f>SUM(SUMIFS(R:R,$D:$D,$D962,$E:$E,$E962,$F:$F,{"Serviced Accommodation","Non-Serviced Accommodation","SFR"}))</f>
        <v>46.331327974566591</v>
      </c>
      <c r="S962" s="530">
        <f>SUM(SUMIFS(S:S,$D:$D,$D962,$E:$E,$E962,$F:$F,{"Serviced Accommodation","Non-Serviced Accommodation","SFR"}))</f>
        <v>27.746961253579045</v>
      </c>
      <c r="T962" s="530">
        <f>SUM(SUMIFS(T:T,$D:$D,$D962,$E:$E,$E962,$F:$F,{"Serviced Accommodation","Non-Serviced Accommodation","SFR"}))</f>
        <v>676.76498304430731</v>
      </c>
      <c r="U962" s="530" t="s">
        <v>61</v>
      </c>
    </row>
    <row r="963" spans="1:21" ht="12.75" customHeight="1" x14ac:dyDescent="0.3">
      <c r="A963" s="530" t="str">
        <f t="shared" ref="A963:A974" si="36">B963&amp;"."&amp;D963&amp;"."&amp;E963&amp;"."&amp;F963</f>
        <v>Conwy.2018.Economic Impact.Staying Visitor</v>
      </c>
      <c r="B963" s="530" t="s">
        <v>219</v>
      </c>
      <c r="C963" s="530" t="str">
        <f t="shared" ref="C963:C974" si="37">D963&amp;"."&amp;E963&amp;"."&amp;F963</f>
        <v>2018.Economic Impact.Staying Visitor</v>
      </c>
      <c r="D963" s="530" t="s">
        <v>238</v>
      </c>
      <c r="E963" s="530" t="s">
        <v>17</v>
      </c>
      <c r="F963" s="530" t="s">
        <v>140</v>
      </c>
      <c r="G963" s="530" t="s">
        <v>140</v>
      </c>
      <c r="H963" s="530">
        <f>SUM(SUMIFS(H:H,$D:$D,$D963,$E:$E,$E963,$F:$F,{"Serviced Accommodation","Non-Serviced Accommodation","SFR"}))</f>
        <v>15736.795785407896</v>
      </c>
      <c r="I963" s="530">
        <f>SUM(SUMIFS(I:I,$D:$D,$D963,$E:$E,$E963,$F:$F,{"Serviced Accommodation","Non-Serviced Accommodation","SFR"}))</f>
        <v>19457.105446221583</v>
      </c>
      <c r="J963" s="530">
        <f>SUM(SUMIFS(J:J,$D:$D,$D963,$E:$E,$E963,$F:$F,{"Serviced Accommodation","Non-Serviced Accommodation","SFR"}))</f>
        <v>41772.062804928013</v>
      </c>
      <c r="K963" s="530">
        <f>SUM(SUMIFS(K:K,$D:$D,$D963,$E:$E,$E963,$F:$F,{"Serviced Accommodation","Non-Serviced Accommodation","SFR"}))</f>
        <v>56177.420566169836</v>
      </c>
      <c r="L963" s="530">
        <f>SUM(SUMIFS(L:L,$D:$D,$D963,$E:$E,$E963,$F:$F,{"Serviced Accommodation","Non-Serviced Accommodation","SFR"}))</f>
        <v>65994.29075932187</v>
      </c>
      <c r="M963" s="530">
        <f>SUM(SUMIFS(M:M,$D:$D,$D963,$E:$E,$E963,$F:$F,{"Serviced Accommodation","Non-Serviced Accommodation","SFR"}))</f>
        <v>65044.692085020855</v>
      </c>
      <c r="N963" s="530">
        <f>SUM(SUMIFS(N:N,$D:$D,$D963,$E:$E,$E963,$F:$F,{"Serviced Accommodation","Non-Serviced Accommodation","SFR"}))</f>
        <v>85032.442300457595</v>
      </c>
      <c r="O963" s="530">
        <f>SUM(SUMIFS(O:O,$D:$D,$D963,$E:$E,$E963,$F:$F,{"Serviced Accommodation","Non-Serviced Accommodation","SFR"}))</f>
        <v>86405.03021662205</v>
      </c>
      <c r="P963" s="530">
        <f>SUM(SUMIFS(P:P,$D:$D,$D963,$E:$E,$E963,$F:$F,{"Serviced Accommodation","Non-Serviced Accommodation","SFR"}))</f>
        <v>67053.934476948241</v>
      </c>
      <c r="Q963" s="530">
        <f>SUM(SUMIFS(Q:Q,$D:$D,$D963,$E:$E,$E963,$F:$F,{"Serviced Accommodation","Non-Serviced Accommodation","SFR"}))</f>
        <v>51304.575519537459</v>
      </c>
      <c r="R963" s="530">
        <f>SUM(SUMIFS(R:R,$D:$D,$D963,$E:$E,$E963,$F:$F,{"Serviced Accommodation","Non-Serviced Accommodation","SFR"}))</f>
        <v>31235.684862718223</v>
      </c>
      <c r="S963" s="530">
        <f>SUM(SUMIFS(S:S,$D:$D,$D963,$E:$E,$E963,$F:$F,{"Serviced Accommodation","Non-Serviced Accommodation","SFR"}))</f>
        <v>20357.130348354909</v>
      </c>
      <c r="T963" s="530">
        <f>SUM(SUMIFS(T:T,$D:$D,$D963,$E:$E,$E963,$F:$F,{"Serviced Accommodation","Non-Serviced Accommodation","SFR"}))</f>
        <v>605571.16517170856</v>
      </c>
      <c r="U963" s="530" t="s">
        <v>57</v>
      </c>
    </row>
    <row r="964" spans="1:21" ht="12.75" customHeight="1" x14ac:dyDescent="0.3">
      <c r="A964" s="530" t="str">
        <f t="shared" si="36"/>
        <v>Conwy.2018.Employment.Staying Visitor</v>
      </c>
      <c r="B964" s="530" t="s">
        <v>219</v>
      </c>
      <c r="C964" s="530" t="str">
        <f t="shared" si="37"/>
        <v>2018.Employment.Staying Visitor</v>
      </c>
      <c r="D964" s="530" t="s">
        <v>238</v>
      </c>
      <c r="E964" s="530" t="s">
        <v>20</v>
      </c>
      <c r="F964" s="530" t="s">
        <v>140</v>
      </c>
      <c r="G964" s="530" t="s">
        <v>140</v>
      </c>
      <c r="H964" s="530">
        <f>SUM(SUMIFS(H:H,$D:$D,$D964,$E:$E,$E964,$F:$F,{"Serviced Accommodation","Non-Serviced Accommodation","SFR"}))</f>
        <v>3587.898735697187</v>
      </c>
      <c r="I964" s="530">
        <f>SUM(SUMIFS(I:I,$D:$D,$D964,$E:$E,$E964,$F:$F,{"Serviced Accommodation","Non-Serviced Accommodation","SFR"}))</f>
        <v>3864.4309048035561</v>
      </c>
      <c r="J964" s="530">
        <f>SUM(SUMIFS(J:J,$D:$D,$D964,$E:$E,$E964,$F:$F,{"Serviced Accommodation","Non-Serviced Accommodation","SFR"}))</f>
        <v>6370.4265920771522</v>
      </c>
      <c r="K964" s="530">
        <f>SUM(SUMIFS(K:K,$D:$D,$D964,$E:$E,$E964,$F:$F,{"Serviced Accommodation","Non-Serviced Accommodation","SFR"}))</f>
        <v>7660.7332775946652</v>
      </c>
      <c r="L964" s="530">
        <f>SUM(SUMIFS(L:L,$D:$D,$D964,$E:$E,$E964,$F:$F,{"Serviced Accommodation","Non-Serviced Accommodation","SFR"}))</f>
        <v>8299.7006104655684</v>
      </c>
      <c r="M964" s="530">
        <f>SUM(SUMIFS(M:M,$D:$D,$D964,$E:$E,$E964,$F:$F,{"Serviced Accommodation","Non-Serviced Accommodation","SFR"}))</f>
        <v>8407.7784252742895</v>
      </c>
      <c r="N964" s="530">
        <f>SUM(SUMIFS(N:N,$D:$D,$D964,$E:$E,$E964,$F:$F,{"Serviced Accommodation","Non-Serviced Accommodation","SFR"}))</f>
        <v>9448.4831649157168</v>
      </c>
      <c r="O964" s="530">
        <f>SUM(SUMIFS(O:O,$D:$D,$D964,$E:$E,$E964,$F:$F,{"Serviced Accommodation","Non-Serviced Accommodation","SFR"}))</f>
        <v>10095.183888981075</v>
      </c>
      <c r="P964" s="530">
        <f>SUM(SUMIFS(P:P,$D:$D,$D964,$E:$E,$E964,$F:$F,{"Serviced Accommodation","Non-Serviced Accommodation","SFR"}))</f>
        <v>7614.7175663995886</v>
      </c>
      <c r="Q964" s="530">
        <f>SUM(SUMIFS(Q:Q,$D:$D,$D964,$E:$E,$E964,$F:$F,{"Serviced Accommodation","Non-Serviced Accommodation","SFR"}))</f>
        <v>7161.2896695683676</v>
      </c>
      <c r="R964" s="530">
        <f>SUM(SUMIFS(R:R,$D:$D,$D964,$E:$E,$E964,$F:$F,{"Serviced Accommodation","Non-Serviced Accommodation","SFR"}))</f>
        <v>4987.4828628164241</v>
      </c>
      <c r="S964" s="530">
        <f>SUM(SUMIFS(S:S,$D:$D,$D964,$E:$E,$E964,$F:$F,{"Serviced Accommodation","Non-Serviced Accommodation","SFR"}))</f>
        <v>3869.1144090841467</v>
      </c>
      <c r="T964" s="530">
        <f>SUM(SUMIFS(T:T,$D:$D,$D964,$E:$E,$E964,$F:$F,{"Serviced Accommodation","Non-Serviced Accommodation","SFR"}))</f>
        <v>6780.6033423064782</v>
      </c>
      <c r="U964" s="530" t="s">
        <v>59</v>
      </c>
    </row>
    <row r="965" spans="1:21" ht="12.75" customHeight="1" x14ac:dyDescent="0.3">
      <c r="A965" s="530" t="str">
        <f t="shared" si="36"/>
        <v>Conwy.2018.Visitor Days.Staying Visitor</v>
      </c>
      <c r="B965" s="530" t="s">
        <v>219</v>
      </c>
      <c r="C965" s="530" t="str">
        <f t="shared" si="37"/>
        <v>2018.Visitor Days.Staying Visitor</v>
      </c>
      <c r="D965" s="530" t="s">
        <v>238</v>
      </c>
      <c r="E965" s="530" t="s">
        <v>171</v>
      </c>
      <c r="F965" s="530" t="s">
        <v>140</v>
      </c>
      <c r="G965" s="530" t="s">
        <v>140</v>
      </c>
      <c r="H965" s="530">
        <f>SUM(SUMIFS(H:H,$D:$D,$D965,$E:$E,$E965,$F:$F,{"Serviced Accommodation","Non-Serviced Accommodation","SFR"}))</f>
        <v>220.91911473648489</v>
      </c>
      <c r="I965" s="530">
        <f>SUM(SUMIFS(I:I,$D:$D,$D965,$E:$E,$E965,$F:$F,{"Serviced Accommodation","Non-Serviced Accommodation","SFR"}))</f>
        <v>244.60178827877129</v>
      </c>
      <c r="J965" s="530">
        <f>SUM(SUMIFS(J:J,$D:$D,$D965,$E:$E,$E965,$F:$F,{"Serviced Accommodation","Non-Serviced Accommodation","SFR"}))</f>
        <v>806.01185191029788</v>
      </c>
      <c r="K965" s="530">
        <f>SUM(SUMIFS(K:K,$D:$D,$D965,$E:$E,$E965,$F:$F,{"Serviced Accommodation","Non-Serviced Accommodation","SFR"}))</f>
        <v>1106.4818159401748</v>
      </c>
      <c r="L965" s="530">
        <f>SUM(SUMIFS(L:L,$D:$D,$D965,$E:$E,$E965,$F:$F,{"Serviced Accommodation","Non-Serviced Accommodation","SFR"}))</f>
        <v>1261.7262638274844</v>
      </c>
      <c r="M965" s="530">
        <f>SUM(SUMIFS(M:M,$D:$D,$D965,$E:$E,$E965,$F:$F,{"Serviced Accommodation","Non-Serviced Accommodation","SFR"}))</f>
        <v>1263.4743408975364</v>
      </c>
      <c r="N965" s="530">
        <f>SUM(SUMIFS(N:N,$D:$D,$D965,$E:$E,$E965,$F:$F,{"Serviced Accommodation","Non-Serviced Accommodation","SFR"}))</f>
        <v>1545.5455709432085</v>
      </c>
      <c r="O965" s="530">
        <f>SUM(SUMIFS(O:O,$D:$D,$D965,$E:$E,$E965,$F:$F,{"Serviced Accommodation","Non-Serviced Accommodation","SFR"}))</f>
        <v>1545.3150718171025</v>
      </c>
      <c r="P965" s="530">
        <f>SUM(SUMIFS(P:P,$D:$D,$D965,$E:$E,$E965,$F:$F,{"Serviced Accommodation","Non-Serviced Accommodation","SFR"}))</f>
        <v>1117.6127665464503</v>
      </c>
      <c r="Q965" s="530">
        <f>SUM(SUMIFS(Q:Q,$D:$D,$D965,$E:$E,$E965,$F:$F,{"Serviced Accommodation","Non-Serviced Accommodation","SFR"}))</f>
        <v>1015.9522255618643</v>
      </c>
      <c r="R965" s="530">
        <f>SUM(SUMIFS(R:R,$D:$D,$D965,$E:$E,$E965,$F:$F,{"Serviced Accommodation","Non-Serviced Accommodation","SFR"}))</f>
        <v>502.71945831536203</v>
      </c>
      <c r="S965" s="530">
        <f>SUM(SUMIFS(S:S,$D:$D,$D965,$E:$E,$E965,$F:$F,{"Serviced Accommodation","Non-Serviced Accommodation","SFR"}))</f>
        <v>263.49866523743054</v>
      </c>
      <c r="T965" s="530">
        <f>SUM(SUMIFS(T:T,$D:$D,$D965,$E:$E,$E965,$F:$F,{"Serviced Accommodation","Non-Serviced Accommodation","SFR"}))</f>
        <v>10893.858934012169</v>
      </c>
      <c r="U965" s="530" t="s">
        <v>61</v>
      </c>
    </row>
    <row r="966" spans="1:21" ht="12.75" customHeight="1" x14ac:dyDescent="0.3">
      <c r="A966" s="530" t="str">
        <f t="shared" si="36"/>
        <v>Conwy.2018.Visitor Numbers.Staying Visitor</v>
      </c>
      <c r="B966" s="530" t="s">
        <v>219</v>
      </c>
      <c r="C966" s="530" t="str">
        <f t="shared" si="37"/>
        <v>2018.Visitor Numbers.Staying Visitor</v>
      </c>
      <c r="D966" s="530" t="s">
        <v>238</v>
      </c>
      <c r="E966" s="530" t="s">
        <v>172</v>
      </c>
      <c r="F966" s="530" t="s">
        <v>140</v>
      </c>
      <c r="G966" s="530" t="s">
        <v>140</v>
      </c>
      <c r="H966" s="530">
        <f>SUM(SUMIFS(H:H,$D:$D,$D966,$E:$E,$E966,$F:$F,{"Serviced Accommodation","Non-Serviced Accommodation","SFR"}))</f>
        <v>109.71748180170522</v>
      </c>
      <c r="I966" s="530">
        <f>SUM(SUMIFS(I:I,$D:$D,$D966,$E:$E,$E966,$F:$F,{"Serviced Accommodation","Non-Serviced Accommodation","SFR"}))</f>
        <v>125.06681365503178</v>
      </c>
      <c r="J966" s="530">
        <f>SUM(SUMIFS(J:J,$D:$D,$D966,$E:$E,$E966,$F:$F,{"Serviced Accommodation","Non-Serviced Accommodation","SFR"}))</f>
        <v>204.64263210670148</v>
      </c>
      <c r="K966" s="530">
        <f>SUM(SUMIFS(K:K,$D:$D,$D966,$E:$E,$E966,$F:$F,{"Serviced Accommodation","Non-Serviced Accommodation","SFR"}))</f>
        <v>242.05031942784802</v>
      </c>
      <c r="L966" s="530">
        <f>SUM(SUMIFS(L:L,$D:$D,$D966,$E:$E,$E966,$F:$F,{"Serviced Accommodation","Non-Serviced Accommodation","SFR"}))</f>
        <v>275.93379013622092</v>
      </c>
      <c r="M966" s="530">
        <f>SUM(SUMIFS(M:M,$D:$D,$D966,$E:$E,$E966,$F:$F,{"Serviced Accommodation","Non-Serviced Accommodation","SFR"}))</f>
        <v>260.96669007052526</v>
      </c>
      <c r="N966" s="530">
        <f>SUM(SUMIFS(N:N,$D:$D,$D966,$E:$E,$E966,$F:$F,{"Serviced Accommodation","Non-Serviced Accommodation","SFR"}))</f>
        <v>300.19512454050596</v>
      </c>
      <c r="O966" s="530">
        <f>SUM(SUMIFS(O:O,$D:$D,$D966,$E:$E,$E966,$F:$F,{"Serviced Accommodation","Non-Serviced Accommodation","SFR"}))</f>
        <v>294.09633507141444</v>
      </c>
      <c r="P966" s="530">
        <f>SUM(SUMIFS(P:P,$D:$D,$D966,$E:$E,$E966,$F:$F,{"Serviced Accommodation","Non-Serviced Accommodation","SFR"}))</f>
        <v>229.3009793327339</v>
      </c>
      <c r="Q966" s="530">
        <f>SUM(SUMIFS(Q:Q,$D:$D,$D966,$E:$E,$E966,$F:$F,{"Serviced Accommodation","Non-Serviced Accommodation","SFR"}))</f>
        <v>205.17873126794115</v>
      </c>
      <c r="R966" s="530">
        <f>SUM(SUMIFS(R:R,$D:$D,$D966,$E:$E,$E966,$F:$F,{"Serviced Accommodation","Non-Serviced Accommodation","SFR"}))</f>
        <v>169.78005923090402</v>
      </c>
      <c r="S966" s="530">
        <f>SUM(SUMIFS(S:S,$D:$D,$D966,$E:$E,$E966,$F:$F,{"Serviced Accommodation","Non-Serviced Accommodation","SFR"}))</f>
        <v>110.65303118750684</v>
      </c>
      <c r="T966" s="530">
        <f>SUM(SUMIFS(T:T,$D:$D,$D966,$E:$E,$E966,$F:$F,{"Serviced Accommodation","Non-Serviced Accommodation","SFR"}))</f>
        <v>2527.5819878290386</v>
      </c>
      <c r="U966" s="530" t="s">
        <v>61</v>
      </c>
    </row>
    <row r="967" spans="1:21" ht="12.75" customHeight="1" x14ac:dyDescent="0.3">
      <c r="A967" s="530" t="str">
        <f t="shared" si="36"/>
        <v>Conwy.2018.Vehicle Days.Staying Visitor</v>
      </c>
      <c r="B967" s="530" t="s">
        <v>219</v>
      </c>
      <c r="C967" s="530" t="str">
        <f t="shared" si="37"/>
        <v>2018.Vehicle Days.Staying Visitor</v>
      </c>
      <c r="D967" s="530" t="s">
        <v>238</v>
      </c>
      <c r="E967" s="530" t="s">
        <v>21</v>
      </c>
      <c r="F967" s="530" t="s">
        <v>140</v>
      </c>
      <c r="G967" s="530" t="s">
        <v>140</v>
      </c>
      <c r="H967" s="530">
        <f>SUM(SUMIFS(H:H,$D:$D,$D967,$E:$E,$E967,$F:$F,{"Serviced Accommodation","Non-Serviced Accommodation","SFR"}))</f>
        <v>61.253556131918288</v>
      </c>
      <c r="I967" s="530">
        <f>SUM(SUMIFS(I:I,$D:$D,$D967,$E:$E,$E967,$F:$F,{"Serviced Accommodation","Non-Serviced Accommodation","SFR"}))</f>
        <v>83.122812108093044</v>
      </c>
      <c r="J967" s="530">
        <f>SUM(SUMIFS(J:J,$D:$D,$D967,$E:$E,$E967,$F:$F,{"Serviced Accommodation","Non-Serviced Accommodation","SFR"}))</f>
        <v>222.70426651152655</v>
      </c>
      <c r="K967" s="530">
        <f>SUM(SUMIFS(K:K,$D:$D,$D967,$E:$E,$E967,$F:$F,{"Serviced Accommodation","Non-Serviced Accommodation","SFR"}))</f>
        <v>286.43637077264748</v>
      </c>
      <c r="L967" s="530">
        <f>SUM(SUMIFS(L:L,$D:$D,$D967,$E:$E,$E967,$F:$F,{"Serviced Accommodation","Non-Serviced Accommodation","SFR"}))</f>
        <v>332.15843023470478</v>
      </c>
      <c r="M967" s="530">
        <f>SUM(SUMIFS(M:M,$D:$D,$D967,$E:$E,$E967,$F:$F,{"Serviced Accommodation","Non-Serviced Accommodation","SFR"}))</f>
        <v>336.54903580615633</v>
      </c>
      <c r="N967" s="530">
        <f>SUM(SUMIFS(N:N,$D:$D,$D967,$E:$E,$E967,$F:$F,{"Serviced Accommodation","Non-Serviced Accommodation","SFR"}))</f>
        <v>396.45334143539509</v>
      </c>
      <c r="O967" s="530">
        <f>SUM(SUMIFS(O:O,$D:$D,$D967,$E:$E,$E967,$F:$F,{"Serviced Accommodation","Non-Serviced Accommodation","SFR"}))</f>
        <v>387.10301064486345</v>
      </c>
      <c r="P967" s="530">
        <f>SUM(SUMIFS(P:P,$D:$D,$D967,$E:$E,$E967,$F:$F,{"Serviced Accommodation","Non-Serviced Accommodation","SFR"}))</f>
        <v>288.00462005774966</v>
      </c>
      <c r="Q967" s="530">
        <f>SUM(SUMIFS(Q:Q,$D:$D,$D967,$E:$E,$E967,$F:$F,{"Serviced Accommodation","Non-Serviced Accommodation","SFR"}))</f>
        <v>264.19599539814061</v>
      </c>
      <c r="R967" s="530">
        <f>SUM(SUMIFS(R:R,$D:$D,$D967,$E:$E,$E967,$F:$F,{"Serviced Accommodation","Non-Serviced Accommodation","SFR"}))</f>
        <v>139.31327782910495</v>
      </c>
      <c r="S967" s="530">
        <f>SUM(SUMIFS(S:S,$D:$D,$D967,$E:$E,$E967,$F:$F,{"Serviced Accommodation","Non-Serviced Accommodation","SFR"}))</f>
        <v>68.345629015422617</v>
      </c>
      <c r="T967" s="530">
        <f>SUM(SUMIFS(T:T,$D:$D,$D967,$E:$E,$E967,$F:$F,{"Serviced Accommodation","Non-Serviced Accommodation","SFR"}))</f>
        <v>2865.6403459457229</v>
      </c>
      <c r="U967" s="530" t="s">
        <v>61</v>
      </c>
    </row>
    <row r="968" spans="1:21" ht="12.75" customHeight="1" x14ac:dyDescent="0.3">
      <c r="A968" s="530" t="str">
        <f t="shared" si="36"/>
        <v>Conwy.2018.Vehicle Numbers.Staying Visitor</v>
      </c>
      <c r="B968" s="530" t="s">
        <v>219</v>
      </c>
      <c r="C968" s="530" t="str">
        <f t="shared" si="37"/>
        <v>2018.Vehicle Numbers.Staying Visitor</v>
      </c>
      <c r="D968" s="530" t="s">
        <v>238</v>
      </c>
      <c r="E968" s="530" t="s">
        <v>22</v>
      </c>
      <c r="F968" s="530" t="s">
        <v>140</v>
      </c>
      <c r="G968" s="530" t="s">
        <v>140</v>
      </c>
      <c r="H968" s="530">
        <f>SUM(SUMIFS(H:H,$D:$D,$D968,$E:$E,$E968,$F:$F,{"Serviced Accommodation","Non-Serviced Accommodation","SFR"}))</f>
        <v>29.794006625102917</v>
      </c>
      <c r="I968" s="530">
        <f>SUM(SUMIFS(I:I,$D:$D,$D968,$E:$E,$E968,$F:$F,{"Serviced Accommodation","Non-Serviced Accommodation","SFR"}))</f>
        <v>42.367428848527339</v>
      </c>
      <c r="J968" s="530">
        <f>SUM(SUMIFS(J:J,$D:$D,$D968,$E:$E,$E968,$F:$F,{"Serviced Accommodation","Non-Serviced Accommodation","SFR"}))</f>
        <v>59.19920550117655</v>
      </c>
      <c r="K968" s="530">
        <f>SUM(SUMIFS(K:K,$D:$D,$D968,$E:$E,$E968,$F:$F,{"Serviced Accommodation","Non-Serviced Accommodation","SFR"}))</f>
        <v>63.325884015233804</v>
      </c>
      <c r="L968" s="530">
        <f>SUM(SUMIFS(L:L,$D:$D,$D968,$E:$E,$E968,$F:$F,{"Serviced Accommodation","Non-Serviced Accommodation","SFR"}))</f>
        <v>74.311690530874159</v>
      </c>
      <c r="M968" s="530">
        <f>SUM(SUMIFS(M:M,$D:$D,$D968,$E:$E,$E968,$F:$F,{"Serviced Accommodation","Non-Serviced Accommodation","SFR"}))</f>
        <v>70.685732381675564</v>
      </c>
      <c r="N968" s="530">
        <f>SUM(SUMIFS(N:N,$D:$D,$D968,$E:$E,$E968,$F:$F,{"Serviced Accommodation","Non-Serviced Accommodation","SFR"}))</f>
        <v>77.818456280354695</v>
      </c>
      <c r="O968" s="530">
        <f>SUM(SUMIFS(O:O,$D:$D,$D968,$E:$E,$E968,$F:$F,{"Serviced Accommodation","Non-Serviced Accommodation","SFR"}))</f>
        <v>75.101716132236632</v>
      </c>
      <c r="P968" s="530">
        <f>SUM(SUMIFS(P:P,$D:$D,$D968,$E:$E,$E968,$F:$F,{"Serviced Accommodation","Non-Serviced Accommodation","SFR"}))</f>
        <v>59.598292290484579</v>
      </c>
      <c r="Q968" s="530">
        <f>SUM(SUMIFS(Q:Q,$D:$D,$D968,$E:$E,$E968,$F:$F,{"Serviced Accommodation","Non-Serviced Accommodation","SFR"}))</f>
        <v>56.358735710143002</v>
      </c>
      <c r="R968" s="530">
        <f>SUM(SUMIFS(R:R,$D:$D,$D968,$E:$E,$E968,$F:$F,{"Serviced Accommodation","Non-Serviced Accommodation","SFR"}))</f>
        <v>48.880211181933845</v>
      </c>
      <c r="S968" s="530">
        <f>SUM(SUMIFS(S:S,$D:$D,$D968,$E:$E,$E968,$F:$F,{"Serviced Accommodation","Non-Serviced Accommodation","SFR"}))</f>
        <v>29.307414882549761</v>
      </c>
      <c r="T968" s="530">
        <f>SUM(SUMIFS(T:T,$D:$D,$D968,$E:$E,$E968,$F:$F,{"Serviced Accommodation","Non-Serviced Accommodation","SFR"}))</f>
        <v>686.74877438029284</v>
      </c>
      <c r="U968" s="530" t="s">
        <v>61</v>
      </c>
    </row>
    <row r="969" spans="1:21" ht="12.75" customHeight="1" x14ac:dyDescent="0.3">
      <c r="A969" s="530" t="str">
        <f t="shared" si="36"/>
        <v>Conwy.2019.Economic Impact.Staying Visitor</v>
      </c>
      <c r="B969" s="530" t="s">
        <v>219</v>
      </c>
      <c r="C969" s="530" t="str">
        <f t="shared" si="37"/>
        <v>2019.Economic Impact.Staying Visitor</v>
      </c>
      <c r="D969" s="530" t="s">
        <v>239</v>
      </c>
      <c r="E969" s="530" t="s">
        <v>17</v>
      </c>
      <c r="F969" s="530" t="s">
        <v>140</v>
      </c>
      <c r="G969" s="530" t="s">
        <v>140</v>
      </c>
      <c r="H969" s="530">
        <f>SUM(SUMIFS(H:H,$D:$D,$D969,$E:$E,$E969,$F:$F,{"Serviced Accommodation","Non-Serviced Accommodation","SFR"}))</f>
        <v>22629.126932011939</v>
      </c>
      <c r="I969" s="530">
        <f>SUM(SUMIFS(I:I,$D:$D,$D969,$E:$E,$E969,$F:$F,{"Serviced Accommodation","Non-Serviced Accommodation","SFR"}))</f>
        <v>18741.629935649878</v>
      </c>
      <c r="J969" s="530">
        <f>SUM(SUMIFS(J:J,$D:$D,$D969,$E:$E,$E969,$F:$F,{"Serviced Accommodation","Non-Serviced Accommodation","SFR"}))</f>
        <v>42025.540243397008</v>
      </c>
      <c r="K969" s="530">
        <f>SUM(SUMIFS(K:K,$D:$D,$D969,$E:$E,$E969,$F:$F,{"Serviced Accommodation","Non-Serviced Accommodation","SFR"}))</f>
        <v>61527.444429846168</v>
      </c>
      <c r="L969" s="530">
        <f>SUM(SUMIFS(L:L,$D:$D,$D969,$E:$E,$E969,$F:$F,{"Serviced Accommodation","Non-Serviced Accommodation","SFR"}))</f>
        <v>69584.267249862605</v>
      </c>
      <c r="M969" s="530">
        <f>SUM(SUMIFS(M:M,$D:$D,$D969,$E:$E,$E969,$F:$F,{"Serviced Accommodation","Non-Serviced Accommodation","SFR"}))</f>
        <v>67848.667914309641</v>
      </c>
      <c r="N969" s="530">
        <f>SUM(SUMIFS(N:N,$D:$D,$D969,$E:$E,$E969,$F:$F,{"Serviced Accommodation","Non-Serviced Accommodation","SFR"}))</f>
        <v>88523.591230187973</v>
      </c>
      <c r="O969" s="530">
        <f>SUM(SUMIFS(O:O,$D:$D,$D969,$E:$E,$E969,$F:$F,{"Serviced Accommodation","Non-Serviced Accommodation","SFR"}))</f>
        <v>90345.428695812036</v>
      </c>
      <c r="P969" s="530">
        <f>SUM(SUMIFS(P:P,$D:$D,$D969,$E:$E,$E969,$F:$F,{"Serviced Accommodation","Non-Serviced Accommodation","SFR"}))</f>
        <v>71615.993182488557</v>
      </c>
      <c r="Q969" s="530">
        <f>SUM(SUMIFS(Q:Q,$D:$D,$D969,$E:$E,$E969,$F:$F,{"Serviced Accommodation","Non-Serviced Accommodation","SFR"}))</f>
        <v>54855.952875165131</v>
      </c>
      <c r="R969" s="530">
        <f>SUM(SUMIFS(R:R,$D:$D,$D969,$E:$E,$E969,$F:$F,{"Serviced Accommodation","Non-Serviced Accommodation","SFR"}))</f>
        <v>33548.169811371721</v>
      </c>
      <c r="S969" s="530">
        <f>SUM(SUMIFS(S:S,$D:$D,$D969,$E:$E,$E969,$F:$F,{"Serviced Accommodation","Non-Serviced Accommodation","SFR"}))</f>
        <v>22944.523464965758</v>
      </c>
      <c r="T969" s="530">
        <f>SUM(SUMIFS(T:T,$D:$D,$D969,$E:$E,$E969,$F:$F,{"Serviced Accommodation","Non-Serviced Accommodation","SFR"}))</f>
        <v>644190.33596506843</v>
      </c>
      <c r="U969" s="530" t="s">
        <v>57</v>
      </c>
    </row>
    <row r="970" spans="1:21" ht="12.75" customHeight="1" x14ac:dyDescent="0.3">
      <c r="A970" s="530" t="str">
        <f t="shared" si="36"/>
        <v>Conwy.2019.Employment.Staying Visitor</v>
      </c>
      <c r="B970" s="530" t="s">
        <v>219</v>
      </c>
      <c r="C970" s="530" t="str">
        <f t="shared" si="37"/>
        <v>2019.Employment.Staying Visitor</v>
      </c>
      <c r="D970" s="530" t="s">
        <v>239</v>
      </c>
      <c r="E970" s="530" t="s">
        <v>20</v>
      </c>
      <c r="F970" s="530" t="s">
        <v>140</v>
      </c>
      <c r="G970" s="530" t="s">
        <v>140</v>
      </c>
      <c r="H970" s="530">
        <f>SUM(SUMIFS(H:H,$D:$D,$D970,$E:$E,$E970,$F:$F,{"Serviced Accommodation","Non-Serviced Accommodation","SFR"}))</f>
        <v>4042.2336929527614</v>
      </c>
      <c r="I970" s="530">
        <f>SUM(SUMIFS(I:I,$D:$D,$D970,$E:$E,$E970,$F:$F,{"Serviced Accommodation","Non-Serviced Accommodation","SFR"}))</f>
        <v>3834.6168132341768</v>
      </c>
      <c r="J970" s="530">
        <f>SUM(SUMIFS(J:J,$D:$D,$D970,$E:$E,$E970,$F:$F,{"Serviced Accommodation","Non-Serviced Accommodation","SFR"}))</f>
        <v>6398.0000548145899</v>
      </c>
      <c r="K970" s="530">
        <f>SUM(SUMIFS(K:K,$D:$D,$D970,$E:$E,$E970,$F:$F,{"Serviced Accommodation","Non-Serviced Accommodation","SFR"}))</f>
        <v>7974.9615226087053</v>
      </c>
      <c r="L970" s="530">
        <f>SUM(SUMIFS(L:L,$D:$D,$D970,$E:$E,$E970,$F:$F,{"Serviced Accommodation","Non-Serviced Accommodation","SFR"}))</f>
        <v>8518.4467114276358</v>
      </c>
      <c r="M970" s="530">
        <f>SUM(SUMIFS(M:M,$D:$D,$D970,$E:$E,$E970,$F:$F,{"Serviced Accommodation","Non-Serviced Accommodation","SFR"}))</f>
        <v>8445.2192742686748</v>
      </c>
      <c r="N970" s="530">
        <f>SUM(SUMIFS(N:N,$D:$D,$D970,$E:$E,$E970,$F:$F,{"Serviced Accommodation","Non-Serviced Accommodation","SFR"}))</f>
        <v>9528.7205822992328</v>
      </c>
      <c r="O970" s="530">
        <f>SUM(SUMIFS(O:O,$D:$D,$D970,$E:$E,$E970,$F:$F,{"Serviced Accommodation","Non-Serviced Accommodation","SFR"}))</f>
        <v>9934.3501153990728</v>
      </c>
      <c r="P970" s="530">
        <f>SUM(SUMIFS(P:P,$D:$D,$D970,$E:$E,$E970,$F:$F,{"Serviced Accommodation","Non-Serviced Accommodation","SFR"}))</f>
        <v>7896.645757262977</v>
      </c>
      <c r="Q970" s="530">
        <f>SUM(SUMIFS(Q:Q,$D:$D,$D970,$E:$E,$E970,$F:$F,{"Serviced Accommodation","Non-Serviced Accommodation","SFR"}))</f>
        <v>7470.1747329646423</v>
      </c>
      <c r="R970" s="530">
        <f>SUM(SUMIFS(R:R,$D:$D,$D970,$E:$E,$E970,$F:$F,{"Serviced Accommodation","Non-Serviced Accommodation","SFR"}))</f>
        <v>5099.8171290783121</v>
      </c>
      <c r="S970" s="530">
        <f>SUM(SUMIFS(S:S,$D:$D,$D970,$E:$E,$E970,$F:$F,{"Serviced Accommodation","Non-Serviced Accommodation","SFR"}))</f>
        <v>4038.9056576066059</v>
      </c>
      <c r="T970" s="530">
        <f>SUM(SUMIFS(T:T,$D:$D,$D970,$E:$E,$E970,$F:$F,{"Serviced Accommodation","Non-Serviced Accommodation","SFR"}))</f>
        <v>6931.8410036597816</v>
      </c>
      <c r="U970" s="530" t="s">
        <v>59</v>
      </c>
    </row>
    <row r="971" spans="1:21" ht="12.75" customHeight="1" x14ac:dyDescent="0.3">
      <c r="A971" s="530" t="str">
        <f t="shared" si="36"/>
        <v>Conwy.2019.Visitor Days.Staying Visitor</v>
      </c>
      <c r="B971" s="530" t="s">
        <v>219</v>
      </c>
      <c r="C971" s="530" t="str">
        <f t="shared" si="37"/>
        <v>2019.Visitor Days.Staying Visitor</v>
      </c>
      <c r="D971" s="530" t="s">
        <v>239</v>
      </c>
      <c r="E971" s="530" t="s">
        <v>171</v>
      </c>
      <c r="F971" s="530" t="s">
        <v>140</v>
      </c>
      <c r="G971" s="530" t="s">
        <v>140</v>
      </c>
      <c r="H971" s="530">
        <f>SUM(SUMIFS(H:H,$D:$D,$D971,$E:$E,$E971,$F:$F,{"Serviced Accommodation","Non-Serviced Accommodation","SFR"}))</f>
        <v>296.90612209693313</v>
      </c>
      <c r="I971" s="530">
        <f>SUM(SUMIFS(I:I,$D:$D,$D971,$E:$E,$E971,$F:$F,{"Serviced Accommodation","Non-Serviced Accommodation","SFR"}))</f>
        <v>235.7928094602749</v>
      </c>
      <c r="J971" s="530">
        <f>SUM(SUMIFS(J:J,$D:$D,$D971,$E:$E,$E971,$F:$F,{"Serviced Accommodation","Non-Serviced Accommodation","SFR"}))</f>
        <v>792.15741860852359</v>
      </c>
      <c r="K971" s="530">
        <f>SUM(SUMIFS(K:K,$D:$D,$D971,$E:$E,$E971,$F:$F,{"Serviced Accommodation","Non-Serviced Accommodation","SFR"}))</f>
        <v>1147.0165394928238</v>
      </c>
      <c r="L971" s="530">
        <f>SUM(SUMIFS(L:L,$D:$D,$D971,$E:$E,$E971,$F:$F,{"Serviced Accommodation","Non-Serviced Accommodation","SFR"}))</f>
        <v>1280.1821775902945</v>
      </c>
      <c r="M971" s="530">
        <f>SUM(SUMIFS(M:M,$D:$D,$D971,$E:$E,$E971,$F:$F,{"Serviced Accommodation","Non-Serviced Accommodation","SFR"}))</f>
        <v>1259.9316455711953</v>
      </c>
      <c r="N971" s="530">
        <f>SUM(SUMIFS(N:N,$D:$D,$D971,$E:$E,$E971,$F:$F,{"Serviced Accommodation","Non-Serviced Accommodation","SFR"}))</f>
        <v>1542.6658523647427</v>
      </c>
      <c r="O971" s="530">
        <f>SUM(SUMIFS(O:O,$D:$D,$D971,$E:$E,$E971,$F:$F,{"Serviced Accommodation","Non-Serviced Accommodation","SFR"}))</f>
        <v>1551.3307014710394</v>
      </c>
      <c r="P971" s="530">
        <f>SUM(SUMIFS(P:P,$D:$D,$D971,$E:$E,$E971,$F:$F,{"Serviced Accommodation","Non-Serviced Accommodation","SFR"}))</f>
        <v>1153.8322658664529</v>
      </c>
      <c r="Q971" s="530">
        <f>SUM(SUMIFS(Q:Q,$D:$D,$D971,$E:$E,$E971,$F:$F,{"Serviced Accommodation","Non-Serviced Accommodation","SFR"}))</f>
        <v>1057.0423155779415</v>
      </c>
      <c r="R971" s="530">
        <f>SUM(SUMIFS(R:R,$D:$D,$D971,$E:$E,$E971,$F:$F,{"Serviced Accommodation","Non-Serviced Accommodation","SFR"}))</f>
        <v>518.7387502551029</v>
      </c>
      <c r="S971" s="530">
        <f>SUM(SUMIFS(S:S,$D:$D,$D971,$E:$E,$E971,$F:$F,{"Serviced Accommodation","Non-Serviced Accommodation","SFR"}))</f>
        <v>299.84009013083602</v>
      </c>
      <c r="T971" s="530">
        <f>SUM(SUMIFS(T:T,$D:$D,$D971,$E:$E,$E971,$F:$F,{"Serviced Accommodation","Non-Serviced Accommodation","SFR"}))</f>
        <v>11135.436688486161</v>
      </c>
      <c r="U971" s="530" t="s">
        <v>61</v>
      </c>
    </row>
    <row r="972" spans="1:21" ht="12.75" customHeight="1" x14ac:dyDescent="0.3">
      <c r="A972" s="530" t="str">
        <f t="shared" si="36"/>
        <v>Conwy.2019.Visitor Numbers.Staying Visitor</v>
      </c>
      <c r="B972" s="530" t="s">
        <v>219</v>
      </c>
      <c r="C972" s="530" t="str">
        <f t="shared" si="37"/>
        <v>2019.Visitor Numbers.Staying Visitor</v>
      </c>
      <c r="D972" s="530" t="s">
        <v>239</v>
      </c>
      <c r="E972" s="530" t="s">
        <v>172</v>
      </c>
      <c r="F972" s="530" t="s">
        <v>140</v>
      </c>
      <c r="G972" s="530" t="s">
        <v>140</v>
      </c>
      <c r="H972" s="530">
        <f>SUM(SUMIFS(H:H,$D:$D,$D972,$E:$E,$E972,$F:$F,{"Serviced Accommodation","Non-Serviced Accommodation","SFR"}))</f>
        <v>144.95886155409448</v>
      </c>
      <c r="I972" s="530">
        <f>SUM(SUMIFS(I:I,$D:$D,$D972,$E:$E,$E972,$F:$F,{"Serviced Accommodation","Non-Serviced Accommodation","SFR"}))</f>
        <v>113.65673834694853</v>
      </c>
      <c r="J972" s="530">
        <f>SUM(SUMIFS(J:J,$D:$D,$D972,$E:$E,$E972,$F:$F,{"Serviced Accommodation","Non-Serviced Accommodation","SFR"}))</f>
        <v>197.13062306950229</v>
      </c>
      <c r="K972" s="530">
        <f>SUM(SUMIFS(K:K,$D:$D,$D972,$E:$E,$E972,$F:$F,{"Serviced Accommodation","Non-Serviced Accommodation","SFR"}))</f>
        <v>247.58652310923753</v>
      </c>
      <c r="L972" s="530">
        <f>SUM(SUMIFS(L:L,$D:$D,$D972,$E:$E,$E972,$F:$F,{"Serviced Accommodation","Non-Serviced Accommodation","SFR"}))</f>
        <v>277.40624936510409</v>
      </c>
      <c r="M972" s="530">
        <f>SUM(SUMIFS(M:M,$D:$D,$D972,$E:$E,$E972,$F:$F,{"Serviced Accommodation","Non-Serviced Accommodation","SFR"}))</f>
        <v>261.87255053955948</v>
      </c>
      <c r="N972" s="530">
        <f>SUM(SUMIFS(N:N,$D:$D,$D972,$E:$E,$E972,$F:$F,{"Serviced Accommodation","Non-Serviced Accommodation","SFR"}))</f>
        <v>300.53074149253877</v>
      </c>
      <c r="O972" s="530">
        <f>SUM(SUMIFS(O:O,$D:$D,$D972,$E:$E,$E972,$F:$F,{"Serviced Accommodation","Non-Serviced Accommodation","SFR"}))</f>
        <v>298.95870798456718</v>
      </c>
      <c r="P972" s="530">
        <f>SUM(SUMIFS(P:P,$D:$D,$D972,$E:$E,$E972,$F:$F,{"Serviced Accommodation","Non-Serviced Accommodation","SFR"}))</f>
        <v>236.07431965865374</v>
      </c>
      <c r="Q972" s="530">
        <f>SUM(SUMIFS(Q:Q,$D:$D,$D972,$E:$E,$E972,$F:$F,{"Serviced Accommodation","Non-Serviced Accommodation","SFR"}))</f>
        <v>208.63660022429085</v>
      </c>
      <c r="R972" s="530">
        <f>SUM(SUMIFS(R:R,$D:$D,$D972,$E:$E,$E972,$F:$F,{"Serviced Accommodation","Non-Serviced Accommodation","SFR"}))</f>
        <v>175.02361265365442</v>
      </c>
      <c r="S972" s="530">
        <f>SUM(SUMIFS(S:S,$D:$D,$D972,$E:$E,$E972,$F:$F,{"Serviced Accommodation","Non-Serviced Accommodation","SFR"}))</f>
        <v>110.19111881135308</v>
      </c>
      <c r="T972" s="530">
        <f>SUM(SUMIFS(T:T,$D:$D,$D972,$E:$E,$E972,$F:$F,{"Serviced Accommodation","Non-Serviced Accommodation","SFR"}))</f>
        <v>2572.0266468095042</v>
      </c>
      <c r="U972" s="530" t="s">
        <v>61</v>
      </c>
    </row>
    <row r="973" spans="1:21" ht="12.75" customHeight="1" x14ac:dyDescent="0.3">
      <c r="A973" s="530" t="str">
        <f t="shared" si="36"/>
        <v>Conwy.2019.Vehicle Days.Staying Visitor</v>
      </c>
      <c r="B973" s="530" t="s">
        <v>219</v>
      </c>
      <c r="C973" s="530" t="str">
        <f t="shared" si="37"/>
        <v>2019.Vehicle Days.Staying Visitor</v>
      </c>
      <c r="D973" s="530" t="s">
        <v>239</v>
      </c>
      <c r="E973" s="530" t="s">
        <v>21</v>
      </c>
      <c r="F973" s="530" t="s">
        <v>140</v>
      </c>
      <c r="G973" s="530" t="s">
        <v>140</v>
      </c>
      <c r="H973" s="530">
        <f>SUM(SUMIFS(H:H,$D:$D,$D973,$E:$E,$E973,$F:$F,{"Serviced Accommodation","Non-Serviced Accommodation","SFR"}))</f>
        <v>81.752142558991096</v>
      </c>
      <c r="I973" s="530">
        <f>SUM(SUMIFS(I:I,$D:$D,$D973,$E:$E,$E973,$F:$F,{"Serviced Accommodation","Non-Serviced Accommodation","SFR"}))</f>
        <v>80.324059314817333</v>
      </c>
      <c r="J973" s="530">
        <f>SUM(SUMIFS(J:J,$D:$D,$D973,$E:$E,$E973,$F:$F,{"Serviced Accommodation","Non-Serviced Accommodation","SFR"}))</f>
        <v>217.60641364664511</v>
      </c>
      <c r="K973" s="530">
        <f>SUM(SUMIFS(K:K,$D:$D,$D973,$E:$E,$E973,$F:$F,{"Serviced Accommodation","Non-Serviced Accommodation","SFR"}))</f>
        <v>298.23656084015022</v>
      </c>
      <c r="L973" s="530">
        <f>SUM(SUMIFS(L:L,$D:$D,$D973,$E:$E,$E973,$F:$F,{"Serviced Accommodation","Non-Serviced Accommodation","SFR"}))</f>
        <v>337.17683107210161</v>
      </c>
      <c r="M973" s="530">
        <f>SUM(SUMIFS(M:M,$D:$D,$D973,$E:$E,$E973,$F:$F,{"Serviced Accommodation","Non-Serviced Accommodation","SFR"}))</f>
        <v>334.65801169631112</v>
      </c>
      <c r="N973" s="530">
        <f>SUM(SUMIFS(N:N,$D:$D,$D973,$E:$E,$E973,$F:$F,{"Serviced Accommodation","Non-Serviced Accommodation","SFR"}))</f>
        <v>393.35024632696775</v>
      </c>
      <c r="O973" s="530">
        <f>SUM(SUMIFS(O:O,$D:$D,$D973,$E:$E,$E973,$F:$F,{"Serviced Accommodation","Non-Serviced Accommodation","SFR"}))</f>
        <v>386.62583275219811</v>
      </c>
      <c r="P973" s="530">
        <f>SUM(SUMIFS(P:P,$D:$D,$D973,$E:$E,$E973,$F:$F,{"Serviced Accommodation","Non-Serviced Accommodation","SFR"}))</f>
        <v>298.71867165290365</v>
      </c>
      <c r="Q973" s="530">
        <f>SUM(SUMIFS(Q:Q,$D:$D,$D973,$E:$E,$E973,$F:$F,{"Serviced Accommodation","Non-Serviced Accommodation","SFR"}))</f>
        <v>276.16508875665903</v>
      </c>
      <c r="R973" s="530">
        <f>SUM(SUMIFS(R:R,$D:$D,$D973,$E:$E,$E973,$F:$F,{"Serviced Accommodation","Non-Serviced Accommodation","SFR"}))</f>
        <v>144.00262668061399</v>
      </c>
      <c r="S973" s="530">
        <f>SUM(SUMIFS(S:S,$D:$D,$D973,$E:$E,$E973,$F:$F,{"Serviced Accommodation","Non-Serviced Accommodation","SFR"}))</f>
        <v>75.525536213568728</v>
      </c>
      <c r="T973" s="530">
        <f>SUM(SUMIFS(T:T,$D:$D,$D973,$E:$E,$E973,$F:$F,{"Serviced Accommodation","Non-Serviced Accommodation","SFR"}))</f>
        <v>2924.1420215119279</v>
      </c>
      <c r="U973" s="530" t="s">
        <v>61</v>
      </c>
    </row>
    <row r="974" spans="1:21" ht="12.75" customHeight="1" x14ac:dyDescent="0.3">
      <c r="A974" s="530" t="str">
        <f t="shared" si="36"/>
        <v>Conwy.2019.Vehicle Numbers.Staying Visitor</v>
      </c>
      <c r="B974" s="530" t="s">
        <v>219</v>
      </c>
      <c r="C974" s="530" t="str">
        <f t="shared" si="37"/>
        <v>2019.Vehicle Numbers.Staying Visitor</v>
      </c>
      <c r="D974" s="530" t="s">
        <v>239</v>
      </c>
      <c r="E974" s="530" t="s">
        <v>22</v>
      </c>
      <c r="F974" s="530" t="s">
        <v>140</v>
      </c>
      <c r="G974" s="530" t="s">
        <v>140</v>
      </c>
      <c r="H974" s="530">
        <f>SUM(SUMIFS(H:H,$D:$D,$D974,$E:$E,$E974,$F:$F,{"Serviced Accommodation","Non-Serviced Accommodation","SFR"}))</f>
        <v>39.111576145162395</v>
      </c>
      <c r="I974" s="530">
        <f>SUM(SUMIFS(I:I,$D:$D,$D974,$E:$E,$E974,$F:$F,{"Serviced Accommodation","Non-Serviced Accommodation","SFR"}))</f>
        <v>38.540433091618908</v>
      </c>
      <c r="J974" s="530">
        <f>SUM(SUMIFS(J:J,$D:$D,$D974,$E:$E,$E974,$F:$F,{"Serviced Accommodation","Non-Serviced Accommodation","SFR"}))</f>
        <v>56.492866869271296</v>
      </c>
      <c r="K974" s="530">
        <f>SUM(SUMIFS(K:K,$D:$D,$D974,$E:$E,$E974,$F:$F,{"Serviced Accommodation","Non-Serviced Accommodation","SFR"}))</f>
        <v>64.964543806567846</v>
      </c>
      <c r="L974" s="530">
        <f>SUM(SUMIFS(L:L,$D:$D,$D974,$E:$E,$E974,$F:$F,{"Serviced Accommodation","Non-Serviced Accommodation","SFR"}))</f>
        <v>74.707078367430597</v>
      </c>
      <c r="M974" s="530">
        <f>SUM(SUMIFS(M:M,$D:$D,$D974,$E:$E,$E974,$F:$F,{"Serviced Accommodation","Non-Serviced Accommodation","SFR"}))</f>
        <v>70.807393501029708</v>
      </c>
      <c r="N974" s="530">
        <f>SUM(SUMIFS(N:N,$D:$D,$D974,$E:$E,$E974,$F:$F,{"Serviced Accommodation","Non-Serviced Accommodation","SFR"}))</f>
        <v>77.57497469523247</v>
      </c>
      <c r="O974" s="530">
        <f>SUM(SUMIFS(O:O,$D:$D,$D974,$E:$E,$E974,$F:$F,{"Serviced Accommodation","Non-Serviced Accommodation","SFR"}))</f>
        <v>76.096090011252357</v>
      </c>
      <c r="P974" s="530">
        <f>SUM(SUMIFS(P:P,$D:$D,$D974,$E:$E,$E974,$F:$F,{"Serviced Accommodation","Non-Serviced Accommodation","SFR"}))</f>
        <v>61.547181903434641</v>
      </c>
      <c r="Q974" s="530">
        <f>SUM(SUMIFS(Q:Q,$D:$D,$D974,$E:$E,$E974,$F:$F,{"Serviced Accommodation","Non-Serviced Accommodation","SFR"}))</f>
        <v>57.321963420123424</v>
      </c>
      <c r="R974" s="530">
        <f>SUM(SUMIFS(R:R,$D:$D,$D974,$E:$E,$E974,$F:$F,{"Serviced Accommodation","Non-Serviced Accommodation","SFR"}))</f>
        <v>50.441290256485296</v>
      </c>
      <c r="S974" s="530">
        <f>SUM(SUMIFS(S:S,$D:$D,$D974,$E:$E,$E974,$F:$F,{"Serviced Accommodation","Non-Serviced Accommodation","SFR"}))</f>
        <v>28.787096895831478</v>
      </c>
      <c r="T974" s="530">
        <f>SUM(SUMIFS(T:T,$D:$D,$D974,$E:$E,$E974,$F:$F,{"Serviced Accommodation","Non-Serviced Accommodation","SFR"}))</f>
        <v>696.39248896344043</v>
      </c>
      <c r="U974" s="530" t="s">
        <v>61</v>
      </c>
    </row>
    <row r="975" spans="1:21" ht="12.75" customHeight="1" x14ac:dyDescent="0.3">
      <c r="A975" s="530" t="str">
        <f t="shared" ref="A975:A986" si="38">B975&amp;"."&amp;D975&amp;"."&amp;E975&amp;"."&amp;F975</f>
        <v>Conwy.2020.Economic Impact.Staying Visitor</v>
      </c>
      <c r="B975" s="530" t="s">
        <v>219</v>
      </c>
      <c r="C975" s="530" t="str">
        <f t="shared" ref="C975:C986" si="39">D975&amp;"."&amp;E975&amp;"."&amp;F975</f>
        <v>2020.Economic Impact.Staying Visitor</v>
      </c>
      <c r="D975" s="530" t="s">
        <v>240</v>
      </c>
      <c r="E975" s="530" t="s">
        <v>17</v>
      </c>
      <c r="F975" s="530" t="s">
        <v>140</v>
      </c>
      <c r="G975" s="530" t="s">
        <v>140</v>
      </c>
      <c r="H975" s="530">
        <f>SUM(SUMIFS(H:H,$D:$D,$D975,$E:$E,$E975,$F:$F,{"Serviced Accommodation","Non-Serviced Accommodation","SFR"}))</f>
        <v>23103.515782194107</v>
      </c>
      <c r="I975" s="530">
        <f>SUM(SUMIFS(I:I,$D:$D,$D975,$E:$E,$E975,$F:$F,{"Serviced Accommodation","Non-Serviced Accommodation","SFR"}))</f>
        <v>22204.38592533518</v>
      </c>
      <c r="J975" s="530">
        <f>SUM(SUMIFS(J:J,$D:$D,$D975,$E:$E,$E975,$F:$F,{"Serviced Accommodation","Non-Serviced Accommodation","SFR"}))</f>
        <v>28177.12700401033</v>
      </c>
      <c r="K975" s="530">
        <f>SUM(SUMIFS(K:K,$D:$D,$D975,$E:$E,$E975,$F:$F,{"Serviced Accommodation","Non-Serviced Accommodation","SFR"}))</f>
        <v>0</v>
      </c>
      <c r="L975" s="530">
        <f>SUM(SUMIFS(L:L,$D:$D,$D975,$E:$E,$E975,$F:$F,{"Serviced Accommodation","Non-Serviced Accommodation","SFR"}))</f>
        <v>0</v>
      </c>
      <c r="M975" s="530">
        <f>SUM(SUMIFS(M:M,$D:$D,$D975,$E:$E,$E975,$F:$F,{"Serviced Accommodation","Non-Serviced Accommodation","SFR"}))</f>
        <v>0</v>
      </c>
      <c r="N975" s="530">
        <f>SUM(SUMIFS(N:N,$D:$D,$D975,$E:$E,$E975,$F:$F,{"Serviced Accommodation","Non-Serviced Accommodation","SFR"}))</f>
        <v>22843.51465075331</v>
      </c>
      <c r="O975" s="530">
        <f>SUM(SUMIFS(O:O,$D:$D,$D975,$E:$E,$E975,$F:$F,{"Serviced Accommodation","Non-Serviced Accommodation","SFR"}))</f>
        <v>69364.690632506317</v>
      </c>
      <c r="P975" s="530">
        <f>SUM(SUMIFS(P:P,$D:$D,$D975,$E:$E,$E975,$F:$F,{"Serviced Accommodation","Non-Serviced Accommodation","SFR"}))</f>
        <v>63863.25245895722</v>
      </c>
      <c r="Q975" s="530">
        <f>SUM(SUMIFS(Q:Q,$D:$D,$D975,$E:$E,$E975,$F:$F,{"Serviced Accommodation","Non-Serviced Accommodation","SFR"}))</f>
        <v>0</v>
      </c>
      <c r="R975" s="530">
        <f>SUM(SUMIFS(R:R,$D:$D,$D975,$E:$E,$E975,$F:$F,{"Serviced Accommodation","Non-Serviced Accommodation","SFR"}))</f>
        <v>9512.5339322334985</v>
      </c>
      <c r="S975" s="530">
        <f>SUM(SUMIFS(S:S,$D:$D,$D975,$E:$E,$E975,$F:$F,{"Serviced Accommodation","Non-Serviced Accommodation","SFR"}))</f>
        <v>4879.1348651335129</v>
      </c>
      <c r="T975" s="530">
        <f>SUM(SUMIFS(T:T,$D:$D,$D975,$E:$E,$E975,$F:$F,{"Serviced Accommodation","Non-Serviced Accommodation","SFR"}))</f>
        <v>243948.15525112351</v>
      </c>
      <c r="U975" s="530" t="s">
        <v>57</v>
      </c>
    </row>
    <row r="976" spans="1:21" ht="12.75" customHeight="1" x14ac:dyDescent="0.3">
      <c r="A976" s="530" t="str">
        <f t="shared" si="38"/>
        <v>Conwy.2020.Employment.Staying Visitor</v>
      </c>
      <c r="B976" s="530" t="s">
        <v>219</v>
      </c>
      <c r="C976" s="530" t="str">
        <f t="shared" si="39"/>
        <v>2020.Employment.Staying Visitor</v>
      </c>
      <c r="D976" s="530" t="s">
        <v>240</v>
      </c>
      <c r="E976" s="530" t="s">
        <v>20</v>
      </c>
      <c r="F976" s="530" t="s">
        <v>140</v>
      </c>
      <c r="G976" s="530" t="s">
        <v>140</v>
      </c>
      <c r="H976" s="530">
        <f>SUM(SUMIFS(H:H,$D:$D,$D976,$E:$E,$E976,$F:$F,{"Serviced Accommodation","Non-Serviced Accommodation","SFR"}))</f>
        <v>4011.5989004166559</v>
      </c>
      <c r="I976" s="530">
        <f>SUM(SUMIFS(I:I,$D:$D,$D976,$E:$E,$E976,$F:$F,{"Serviced Accommodation","Non-Serviced Accommodation","SFR"}))</f>
        <v>3997.3714145558879</v>
      </c>
      <c r="J976" s="530">
        <f>SUM(SUMIFS(J:J,$D:$D,$D976,$E:$E,$E976,$F:$F,{"Serviced Accommodation","Non-Serviced Accommodation","SFR"}))</f>
        <v>4377.6202146931646</v>
      </c>
      <c r="K976" s="530">
        <f>SUM(SUMIFS(K:K,$D:$D,$D976,$E:$E,$E976,$F:$F,{"Serviced Accommodation","Non-Serviced Accommodation","SFR"}))</f>
        <v>0</v>
      </c>
      <c r="L976" s="530">
        <f>SUM(SUMIFS(L:L,$D:$D,$D976,$E:$E,$E976,$F:$F,{"Serviced Accommodation","Non-Serviced Accommodation","SFR"}))</f>
        <v>0</v>
      </c>
      <c r="M976" s="530">
        <f>SUM(SUMIFS(M:M,$D:$D,$D976,$E:$E,$E976,$F:$F,{"Serviced Accommodation","Non-Serviced Accommodation","SFR"}))</f>
        <v>0</v>
      </c>
      <c r="N976" s="530">
        <f>SUM(SUMIFS(N:N,$D:$D,$D976,$E:$E,$E976,$F:$F,{"Serviced Accommodation","Non-Serviced Accommodation","SFR"}))</f>
        <v>3024.9725963776964</v>
      </c>
      <c r="O976" s="530">
        <f>SUM(SUMIFS(O:O,$D:$D,$D976,$E:$E,$E976,$F:$F,{"Serviced Accommodation","Non-Serviced Accommodation","SFR"}))</f>
        <v>9090.2264939474335</v>
      </c>
      <c r="P976" s="530">
        <f>SUM(SUMIFS(P:P,$D:$D,$D976,$E:$E,$E976,$F:$F,{"Serviced Accommodation","Non-Serviced Accommodation","SFR"}))</f>
        <v>8396.9323505557059</v>
      </c>
      <c r="Q976" s="530">
        <f>SUM(SUMIFS(Q:Q,$D:$D,$D976,$E:$E,$E976,$F:$F,{"Serviced Accommodation","Non-Serviced Accommodation","SFR"}))</f>
        <v>0</v>
      </c>
      <c r="R976" s="530">
        <f>SUM(SUMIFS(R:R,$D:$D,$D976,$E:$E,$E976,$F:$F,{"Serviced Accommodation","Non-Serviced Accommodation","SFR"}))</f>
        <v>2360.5346325596697</v>
      </c>
      <c r="S976" s="530">
        <f>SUM(SUMIFS(S:S,$D:$D,$D976,$E:$E,$E976,$F:$F,{"Serviced Accommodation","Non-Serviced Accommodation","SFR"}))</f>
        <v>1715.4686582147356</v>
      </c>
      <c r="T976" s="530">
        <f>SUM(SUMIFS(T:T,$D:$D,$D976,$E:$E,$E976,$F:$F,{"Serviced Accommodation","Non-Serviced Accommodation","SFR"}))</f>
        <v>3081.2271051100788</v>
      </c>
      <c r="U976" s="530" t="s">
        <v>59</v>
      </c>
    </row>
    <row r="977" spans="1:21" ht="12.75" customHeight="1" x14ac:dyDescent="0.3">
      <c r="A977" s="530" t="str">
        <f t="shared" si="38"/>
        <v>Conwy.2020.Visitor Days.Staying Visitor</v>
      </c>
      <c r="B977" s="530" t="s">
        <v>219</v>
      </c>
      <c r="C977" s="530" t="str">
        <f t="shared" si="39"/>
        <v>2020.Visitor Days.Staying Visitor</v>
      </c>
      <c r="D977" s="530" t="s">
        <v>240</v>
      </c>
      <c r="E977" s="530" t="s">
        <v>171</v>
      </c>
      <c r="F977" s="530" t="s">
        <v>140</v>
      </c>
      <c r="G977" s="530" t="s">
        <v>140</v>
      </c>
      <c r="H977" s="530">
        <f>SUM(SUMIFS(H:H,$D:$D,$D977,$E:$E,$E977,$F:$F,{"Serviced Accommodation","Non-Serviced Accommodation","SFR"}))</f>
        <v>287.56615811552615</v>
      </c>
      <c r="I977" s="530">
        <f>SUM(SUMIFS(I:I,$D:$D,$D977,$E:$E,$E977,$F:$F,{"Serviced Accommodation","Non-Serviced Accommodation","SFR"}))</f>
        <v>259.00196333280485</v>
      </c>
      <c r="J977" s="530">
        <f>SUM(SUMIFS(J:J,$D:$D,$D977,$E:$E,$E977,$F:$F,{"Serviced Accommodation","Non-Serviced Accommodation","SFR"}))</f>
        <v>482.39306701925227</v>
      </c>
      <c r="K977" s="530">
        <f>SUM(SUMIFS(K:K,$D:$D,$D977,$E:$E,$E977,$F:$F,{"Serviced Accommodation","Non-Serviced Accommodation","SFR"}))</f>
        <v>0</v>
      </c>
      <c r="L977" s="530">
        <f>SUM(SUMIFS(L:L,$D:$D,$D977,$E:$E,$E977,$F:$F,{"Serviced Accommodation","Non-Serviced Accommodation","SFR"}))</f>
        <v>0</v>
      </c>
      <c r="M977" s="530">
        <f>SUM(SUMIFS(M:M,$D:$D,$D977,$E:$E,$E977,$F:$F,{"Serviced Accommodation","Non-Serviced Accommodation","SFR"}))</f>
        <v>0</v>
      </c>
      <c r="N977" s="530">
        <f>SUM(SUMIFS(N:N,$D:$D,$D977,$E:$E,$E977,$F:$F,{"Serviced Accommodation","Non-Serviced Accommodation","SFR"}))</f>
        <v>350.6776967425231</v>
      </c>
      <c r="O977" s="530">
        <f>SUM(SUMIFS(O:O,$D:$D,$D977,$E:$E,$E977,$F:$F,{"Serviced Accommodation","Non-Serviced Accommodation","SFR"}))</f>
        <v>1106.3360373093585</v>
      </c>
      <c r="P977" s="530">
        <f>SUM(SUMIFS(P:P,$D:$D,$D977,$E:$E,$E977,$F:$F,{"Serviced Accommodation","Non-Serviced Accommodation","SFR"}))</f>
        <v>1025.8206587866412</v>
      </c>
      <c r="Q977" s="530">
        <f>SUM(SUMIFS(Q:Q,$D:$D,$D977,$E:$E,$E977,$F:$F,{"Serviced Accommodation","Non-Serviced Accommodation","SFR"}))</f>
        <v>0</v>
      </c>
      <c r="R977" s="530">
        <f>SUM(SUMIFS(R:R,$D:$D,$D977,$E:$E,$E977,$F:$F,{"Serviced Accommodation","Non-Serviced Accommodation","SFR"}))</f>
        <v>112.63160272956409</v>
      </c>
      <c r="S977" s="530">
        <f>SUM(SUMIFS(S:S,$D:$D,$D977,$E:$E,$E977,$F:$F,{"Serviced Accommodation","Non-Serviced Accommodation","SFR"}))</f>
        <v>56.202994975010341</v>
      </c>
      <c r="T977" s="530">
        <f>SUM(SUMIFS(T:T,$D:$D,$D977,$E:$E,$E977,$F:$F,{"Serviced Accommodation","Non-Serviced Accommodation","SFR"}))</f>
        <v>3680.6301790106804</v>
      </c>
      <c r="U977" s="530" t="s">
        <v>61</v>
      </c>
    </row>
    <row r="978" spans="1:21" ht="12.75" customHeight="1" x14ac:dyDescent="0.3">
      <c r="A978" s="530" t="str">
        <f t="shared" si="38"/>
        <v>Conwy.2020.Visitor Numbers.Staying Visitor</v>
      </c>
      <c r="B978" s="530" t="s">
        <v>219</v>
      </c>
      <c r="C978" s="530" t="str">
        <f t="shared" si="39"/>
        <v>2020.Visitor Numbers.Staying Visitor</v>
      </c>
      <c r="D978" s="530" t="s">
        <v>240</v>
      </c>
      <c r="E978" s="530" t="s">
        <v>172</v>
      </c>
      <c r="F978" s="530" t="s">
        <v>140</v>
      </c>
      <c r="G978" s="530" t="s">
        <v>140</v>
      </c>
      <c r="H978" s="530">
        <f>SUM(SUMIFS(H:H,$D:$D,$D978,$E:$E,$E978,$F:$F,{"Serviced Accommodation","Non-Serviced Accommodation","SFR"}))</f>
        <v>141.87979982430016</v>
      </c>
      <c r="I978" s="530">
        <f>SUM(SUMIFS(I:I,$D:$D,$D978,$E:$E,$E978,$F:$F,{"Serviced Accommodation","Non-Serviced Accommodation","SFR"}))</f>
        <v>131.24034711071917</v>
      </c>
      <c r="J978" s="530">
        <f>SUM(SUMIFS(J:J,$D:$D,$D978,$E:$E,$E978,$F:$F,{"Serviced Accommodation","Non-Serviced Accommodation","SFR"}))</f>
        <v>120.5084826033635</v>
      </c>
      <c r="K978" s="530">
        <f>SUM(SUMIFS(K:K,$D:$D,$D978,$E:$E,$E978,$F:$F,{"Serviced Accommodation","Non-Serviced Accommodation","SFR"}))</f>
        <v>0</v>
      </c>
      <c r="L978" s="530">
        <f>SUM(SUMIFS(L:L,$D:$D,$D978,$E:$E,$E978,$F:$F,{"Serviced Accommodation","Non-Serviced Accommodation","SFR"}))</f>
        <v>0</v>
      </c>
      <c r="M978" s="530">
        <f>SUM(SUMIFS(M:M,$D:$D,$D978,$E:$E,$E978,$F:$F,{"Serviced Accommodation","Non-Serviced Accommodation","SFR"}))</f>
        <v>0</v>
      </c>
      <c r="N978" s="530">
        <f>SUM(SUMIFS(N:N,$D:$D,$D978,$E:$E,$E978,$F:$F,{"Serviced Accommodation","Non-Serviced Accommodation","SFR"}))</f>
        <v>53.496774846852091</v>
      </c>
      <c r="O978" s="530">
        <f>SUM(SUMIFS(O:O,$D:$D,$D978,$E:$E,$E978,$F:$F,{"Serviced Accommodation","Non-Serviced Accommodation","SFR"}))</f>
        <v>212.89995249718086</v>
      </c>
      <c r="P978" s="530">
        <f>SUM(SUMIFS(P:P,$D:$D,$D978,$E:$E,$E978,$F:$F,{"Serviced Accommodation","Non-Serviced Accommodation","SFR"}))</f>
        <v>197.73227777029709</v>
      </c>
      <c r="Q978" s="530">
        <f>SUM(SUMIFS(Q:Q,$D:$D,$D978,$E:$E,$E978,$F:$F,{"Serviced Accommodation","Non-Serviced Accommodation","SFR"}))</f>
        <v>0</v>
      </c>
      <c r="R978" s="530">
        <f>SUM(SUMIFS(R:R,$D:$D,$D978,$E:$E,$E978,$F:$F,{"Serviced Accommodation","Non-Serviced Accommodation","SFR"}))</f>
        <v>42.670618319387444</v>
      </c>
      <c r="S978" s="530">
        <f>SUM(SUMIFS(S:S,$D:$D,$D978,$E:$E,$E978,$F:$F,{"Serviced Accommodation","Non-Serviced Accommodation","SFR"}))</f>
        <v>15.053666032797347</v>
      </c>
      <c r="T978" s="530">
        <f>SUM(SUMIFS(T:T,$D:$D,$D978,$E:$E,$E978,$F:$F,{"Serviced Accommodation","Non-Serviced Accommodation","SFR"}))</f>
        <v>915.4819190048978</v>
      </c>
      <c r="U978" s="530" t="s">
        <v>61</v>
      </c>
    </row>
    <row r="979" spans="1:21" ht="12.75" customHeight="1" x14ac:dyDescent="0.3">
      <c r="A979" s="530" t="str">
        <f t="shared" si="38"/>
        <v>Conwy.2020.Vehicle Days.Staying Visitor</v>
      </c>
      <c r="B979" s="530" t="s">
        <v>219</v>
      </c>
      <c r="C979" s="530" t="str">
        <f t="shared" si="39"/>
        <v>2020.Vehicle Days.Staying Visitor</v>
      </c>
      <c r="D979" s="530" t="s">
        <v>240</v>
      </c>
      <c r="E979" s="530" t="s">
        <v>21</v>
      </c>
      <c r="F979" s="530" t="s">
        <v>140</v>
      </c>
      <c r="G979" s="530" t="s">
        <v>140</v>
      </c>
      <c r="H979" s="530">
        <f>SUM(SUMIFS(H:H,$D:$D,$D979,$E:$E,$E979,$F:$F,{"Serviced Accommodation","Non-Serviced Accommodation","SFR"}))</f>
        <v>79.157871499990321</v>
      </c>
      <c r="I979" s="530">
        <f>SUM(SUMIFS(I:I,$D:$D,$D979,$E:$E,$E979,$F:$F,{"Serviced Accommodation","Non-Serviced Accommodation","SFR"}))</f>
        <v>88.148890755413689</v>
      </c>
      <c r="J979" s="530">
        <f>SUM(SUMIFS(J:J,$D:$D,$D979,$E:$E,$E979,$F:$F,{"Serviced Accommodation","Non-Serviced Accommodation","SFR"}))</f>
        <v>134.01491713884161</v>
      </c>
      <c r="K979" s="530">
        <f>SUM(SUMIFS(K:K,$D:$D,$D979,$E:$E,$E979,$F:$F,{"Serviced Accommodation","Non-Serviced Accommodation","SFR"}))</f>
        <v>0</v>
      </c>
      <c r="L979" s="530">
        <f>SUM(SUMIFS(L:L,$D:$D,$D979,$E:$E,$E979,$F:$F,{"Serviced Accommodation","Non-Serviced Accommodation","SFR"}))</f>
        <v>0</v>
      </c>
      <c r="M979" s="530">
        <f>SUM(SUMIFS(M:M,$D:$D,$D979,$E:$E,$E979,$F:$F,{"Serviced Accommodation","Non-Serviced Accommodation","SFR"}))</f>
        <v>0</v>
      </c>
      <c r="N979" s="530">
        <f>SUM(SUMIFS(N:N,$D:$D,$D979,$E:$E,$E979,$F:$F,{"Serviced Accommodation","Non-Serviced Accommodation","SFR"}))</f>
        <v>85.852594472909814</v>
      </c>
      <c r="O979" s="530">
        <f>SUM(SUMIFS(O:O,$D:$D,$D979,$E:$E,$E979,$F:$F,{"Serviced Accommodation","Non-Serviced Accommodation","SFR"}))</f>
        <v>272.5002607074793</v>
      </c>
      <c r="P979" s="530">
        <f>SUM(SUMIFS(P:P,$D:$D,$D979,$E:$E,$E979,$F:$F,{"Serviced Accommodation","Non-Serviced Accommodation","SFR"}))</f>
        <v>263.55579613699859</v>
      </c>
      <c r="Q979" s="530">
        <f>SUM(SUMIFS(Q:Q,$D:$D,$D979,$E:$E,$E979,$F:$F,{"Serviced Accommodation","Non-Serviced Accommodation","SFR"}))</f>
        <v>0</v>
      </c>
      <c r="R979" s="530">
        <f>SUM(SUMIFS(R:R,$D:$D,$D979,$E:$E,$E979,$F:$F,{"Serviced Accommodation","Non-Serviced Accommodation","SFR"}))</f>
        <v>33.221378841303391</v>
      </c>
      <c r="S979" s="530">
        <f>SUM(SUMIFS(S:S,$D:$D,$D979,$E:$E,$E979,$F:$F,{"Serviced Accommodation","Non-Serviced Accommodation","SFR"}))</f>
        <v>12.775850121876434</v>
      </c>
      <c r="T979" s="530">
        <f>SUM(SUMIFS(T:T,$D:$D,$D979,$E:$E,$E979,$F:$F,{"Serviced Accommodation","Non-Serviced Accommodation","SFR"}))</f>
        <v>969.22755967481328</v>
      </c>
      <c r="U979" s="530" t="s">
        <v>61</v>
      </c>
    </row>
    <row r="980" spans="1:21" ht="12.75" customHeight="1" x14ac:dyDescent="0.3">
      <c r="A980" s="530" t="str">
        <f t="shared" si="38"/>
        <v>Conwy.2020.Vehicle Numbers.Staying Visitor</v>
      </c>
      <c r="B980" s="530" t="s">
        <v>219</v>
      </c>
      <c r="C980" s="530" t="str">
        <f t="shared" si="39"/>
        <v>2020.Vehicle Numbers.Staying Visitor</v>
      </c>
      <c r="D980" s="530" t="s">
        <v>240</v>
      </c>
      <c r="E980" s="530" t="s">
        <v>22</v>
      </c>
      <c r="F980" s="530" t="s">
        <v>140</v>
      </c>
      <c r="G980" s="530" t="s">
        <v>140</v>
      </c>
      <c r="H980" s="530">
        <f>SUM(SUMIFS(H:H,$D:$D,$D980,$E:$E,$E980,$F:$F,{"Serviced Accommodation","Non-Serviced Accommodation","SFR"}))</f>
        <v>38.263960179332798</v>
      </c>
      <c r="I980" s="530">
        <f>SUM(SUMIFS(I:I,$D:$D,$D980,$E:$E,$E980,$F:$F,{"Serviced Accommodation","Non-Serviced Accommodation","SFR"}))</f>
        <v>44.497559549473728</v>
      </c>
      <c r="J980" s="530">
        <f>SUM(SUMIFS(J:J,$D:$D,$D980,$E:$E,$E980,$F:$F,{"Serviced Accommodation","Non-Serviced Accommodation","SFR"}))</f>
        <v>34.808456893027326</v>
      </c>
      <c r="K980" s="530">
        <f>SUM(SUMIFS(K:K,$D:$D,$D980,$E:$E,$E980,$F:$F,{"Serviced Accommodation","Non-Serviced Accommodation","SFR"}))</f>
        <v>0</v>
      </c>
      <c r="L980" s="530">
        <f>SUM(SUMIFS(L:L,$D:$D,$D980,$E:$E,$E980,$F:$F,{"Serviced Accommodation","Non-Serviced Accommodation","SFR"}))</f>
        <v>0</v>
      </c>
      <c r="M980" s="530">
        <f>SUM(SUMIFS(M:M,$D:$D,$D980,$E:$E,$E980,$F:$F,{"Serviced Accommodation","Non-Serviced Accommodation","SFR"}))</f>
        <v>0</v>
      </c>
      <c r="N980" s="530">
        <f>SUM(SUMIFS(N:N,$D:$D,$D980,$E:$E,$E980,$F:$F,{"Serviced Accommodation","Non-Serviced Accommodation","SFR"}))</f>
        <v>13.216809765520816</v>
      </c>
      <c r="O980" s="530">
        <f>SUM(SUMIFS(O:O,$D:$D,$D980,$E:$E,$E980,$F:$F,{"Serviced Accommodation","Non-Serviced Accommodation","SFR"}))</f>
        <v>53.375217456926599</v>
      </c>
      <c r="P980" s="530">
        <f>SUM(SUMIFS(P:P,$D:$D,$D980,$E:$E,$E980,$F:$F,{"Serviced Accommodation","Non-Serviced Accommodation","SFR"}))</f>
        <v>50.912221494031641</v>
      </c>
      <c r="Q980" s="530">
        <f>SUM(SUMIFS(Q:Q,$D:$D,$D980,$E:$E,$E980,$F:$F,{"Serviced Accommodation","Non-Serviced Accommodation","SFR"}))</f>
        <v>0</v>
      </c>
      <c r="R980" s="530">
        <f>SUM(SUMIFS(R:R,$D:$D,$D980,$E:$E,$E980,$F:$F,{"Serviced Accommodation","Non-Serviced Accommodation","SFR"}))</f>
        <v>12.819722809170589</v>
      </c>
      <c r="S980" s="530">
        <f>SUM(SUMIFS(S:S,$D:$D,$D980,$E:$E,$E980,$F:$F,{"Serviced Accommodation","Non-Serviced Accommodation","SFR"}))</f>
        <v>3.5835422987499981</v>
      </c>
      <c r="T980" s="530">
        <f>SUM(SUMIFS(T:T,$D:$D,$D980,$E:$E,$E980,$F:$F,{"Serviced Accommodation","Non-Serviced Accommodation","SFR"}))</f>
        <v>251.4774904462335</v>
      </c>
      <c r="U980" s="530" t="s">
        <v>61</v>
      </c>
    </row>
    <row r="981" spans="1:21" ht="12.75" customHeight="1" x14ac:dyDescent="0.3">
      <c r="A981" s="530" t="str">
        <f t="shared" si="38"/>
        <v>Conwy.2021.Economic Impact.Staying Visitor</v>
      </c>
      <c r="B981" s="530" t="s">
        <v>219</v>
      </c>
      <c r="C981" s="530" t="str">
        <f t="shared" si="39"/>
        <v>2021.Economic Impact.Staying Visitor</v>
      </c>
      <c r="D981" s="530" t="s">
        <v>241</v>
      </c>
      <c r="E981" s="530" t="s">
        <v>17</v>
      </c>
      <c r="F981" s="530" t="s">
        <v>140</v>
      </c>
      <c r="G981" s="530" t="s">
        <v>140</v>
      </c>
      <c r="H981" s="530">
        <f>SUM(SUMIFS(H:H,$D:$D,$D981,$E:$E,$E981,$F:$F,{"Serviced Accommodation","Non-Serviced Accommodation","SFR"}))</f>
        <v>0</v>
      </c>
      <c r="I981" s="530">
        <f>SUM(SUMIFS(I:I,$D:$D,$D981,$E:$E,$E981,$F:$F,{"Serviced Accommodation","Non-Serviced Accommodation","SFR"}))</f>
        <v>0</v>
      </c>
      <c r="J981" s="530">
        <f>SUM(SUMIFS(J:J,$D:$D,$D981,$E:$E,$E981,$F:$F,{"Serviced Accommodation","Non-Serviced Accommodation","SFR"}))</f>
        <v>4556.2789171273416</v>
      </c>
      <c r="K981" s="530">
        <f>SUM(SUMIFS(K:K,$D:$D,$D981,$E:$E,$E981,$F:$F,{"Serviced Accommodation","Non-Serviced Accommodation","SFR"}))</f>
        <v>28760.09114703623</v>
      </c>
      <c r="L981" s="530">
        <f>SUM(SUMIFS(L:L,$D:$D,$D981,$E:$E,$E981,$F:$F,{"Serviced Accommodation","Non-Serviced Accommodation","SFR"}))</f>
        <v>33812.27342471826</v>
      </c>
      <c r="M981" s="530">
        <f>SUM(SUMIFS(M:M,$D:$D,$D981,$E:$E,$E981,$F:$F,{"Serviced Accommodation","Non-Serviced Accommodation","SFR"}))</f>
        <v>51439.409583256755</v>
      </c>
      <c r="N981" s="530">
        <f>SUM(SUMIFS(N:N,$D:$D,$D981,$E:$E,$E981,$F:$F,{"Serviced Accommodation","Non-Serviced Accommodation","SFR"}))</f>
        <v>83123.36818536956</v>
      </c>
      <c r="O981" s="530">
        <f>SUM(SUMIFS(O:O,$D:$D,$D981,$E:$E,$E981,$F:$F,{"Serviced Accommodation","Non-Serviced Accommodation","SFR"}))</f>
        <v>96003.440956332692</v>
      </c>
      <c r="P981" s="530">
        <f>SUM(SUMIFS(P:P,$D:$D,$D981,$E:$E,$E981,$F:$F,{"Serviced Accommodation","Non-Serviced Accommodation","SFR"}))</f>
        <v>78376.625340454601</v>
      </c>
      <c r="Q981" s="530">
        <f>SUM(SUMIFS(Q:Q,$D:$D,$D981,$E:$E,$E981,$F:$F,{"Serviced Accommodation","Non-Serviced Accommodation","SFR"}))</f>
        <v>65726.894641996012</v>
      </c>
      <c r="R981" s="530">
        <f>SUM(SUMIFS(R:R,$D:$D,$D981,$E:$E,$E981,$F:$F,{"Serviced Accommodation","Non-Serviced Accommodation","SFR"}))</f>
        <v>28098.238449624703</v>
      </c>
      <c r="S981" s="530">
        <f>SUM(SUMIFS(S:S,$D:$D,$D981,$E:$E,$E981,$F:$F,{"Serviced Accommodation","Non-Serviced Accommodation","SFR"}))</f>
        <v>20700.441689481613</v>
      </c>
      <c r="T981" s="530">
        <f>SUM(SUMIFS(T:T,$D:$D,$D981,$E:$E,$E981,$F:$F,{"Serviced Accommodation","Non-Serviced Accommodation","SFR"}))</f>
        <v>490597.0623353977</v>
      </c>
      <c r="U981" s="530" t="s">
        <v>57</v>
      </c>
    </row>
    <row r="982" spans="1:21" ht="12.75" customHeight="1" x14ac:dyDescent="0.3">
      <c r="A982" s="530" t="str">
        <f t="shared" si="38"/>
        <v>Conwy.2021.Employment.Staying Visitor</v>
      </c>
      <c r="B982" s="530" t="s">
        <v>219</v>
      </c>
      <c r="C982" s="530" t="str">
        <f t="shared" si="39"/>
        <v>2021.Employment.Staying Visitor</v>
      </c>
      <c r="D982" s="530" t="s">
        <v>241</v>
      </c>
      <c r="E982" s="530" t="s">
        <v>20</v>
      </c>
      <c r="F982" s="530" t="s">
        <v>140</v>
      </c>
      <c r="G982" s="530" t="s">
        <v>140</v>
      </c>
      <c r="H982" s="530">
        <f>SUM(SUMIFS(H:H,$D:$D,$D982,$E:$E,$E982,$F:$F,{"Serviced Accommodation","Non-Serviced Accommodation","SFR"}))</f>
        <v>0</v>
      </c>
      <c r="I982" s="530">
        <f>SUM(SUMIFS(I:I,$D:$D,$D982,$E:$E,$E982,$F:$F,{"Serviced Accommodation","Non-Serviced Accommodation","SFR"}))</f>
        <v>0</v>
      </c>
      <c r="J982" s="530">
        <f>SUM(SUMIFS(J:J,$D:$D,$D982,$E:$E,$E982,$F:$F,{"Serviced Accommodation","Non-Serviced Accommodation","SFR"}))</f>
        <v>593.90830211065872</v>
      </c>
      <c r="K982" s="530">
        <f>SUM(SUMIFS(K:K,$D:$D,$D982,$E:$E,$E982,$F:$F,{"Serviced Accommodation","Non-Serviced Accommodation","SFR"}))</f>
        <v>3496.3484197074604</v>
      </c>
      <c r="L982" s="530">
        <f>SUM(SUMIFS(L:L,$D:$D,$D982,$E:$E,$E982,$F:$F,{"Serviced Accommodation","Non-Serviced Accommodation","SFR"}))</f>
        <v>4430.08414221979</v>
      </c>
      <c r="M982" s="530">
        <f>SUM(SUMIFS(M:M,$D:$D,$D982,$E:$E,$E982,$F:$F,{"Serviced Accommodation","Non-Serviced Accommodation","SFR"}))</f>
        <v>6469.1550516423076</v>
      </c>
      <c r="N982" s="530">
        <f>SUM(SUMIFS(N:N,$D:$D,$D982,$E:$E,$E982,$F:$F,{"Serviced Accommodation","Non-Serviced Accommodation","SFR"}))</f>
        <v>8527.1574856728203</v>
      </c>
      <c r="O982" s="530">
        <f>SUM(SUMIFS(O:O,$D:$D,$D982,$E:$E,$E982,$F:$F,{"Serviced Accommodation","Non-Serviced Accommodation","SFR"}))</f>
        <v>9913.8962125631751</v>
      </c>
      <c r="P982" s="530">
        <f>SUM(SUMIFS(P:P,$D:$D,$D982,$E:$E,$E982,$F:$F,{"Serviced Accommodation","Non-Serviced Accommodation","SFR"}))</f>
        <v>8509.6363493807203</v>
      </c>
      <c r="Q982" s="530">
        <f>SUM(SUMIFS(Q:Q,$D:$D,$D982,$E:$E,$E982,$F:$F,{"Serviced Accommodation","Non-Serviced Accommodation","SFR"}))</f>
        <v>8322.1625040889485</v>
      </c>
      <c r="R982" s="530">
        <f>SUM(SUMIFS(R:R,$D:$D,$D982,$E:$E,$E982,$F:$F,{"Serviced Accommodation","Non-Serviced Accommodation","SFR"}))</f>
        <v>4414.7525291480033</v>
      </c>
      <c r="S982" s="530">
        <f>SUM(SUMIFS(S:S,$D:$D,$D982,$E:$E,$E982,$F:$F,{"Serviced Accommodation","Non-Serviced Accommodation","SFR"}))</f>
        <v>3809.0089512500772</v>
      </c>
      <c r="T982" s="530">
        <f>SUM(SUMIFS(T:T,$D:$D,$D982,$E:$E,$E982,$F:$F,{"Serviced Accommodation","Non-Serviced Accommodation","SFR"}))</f>
        <v>4873.8424956486642</v>
      </c>
      <c r="U982" s="530" t="s">
        <v>59</v>
      </c>
    </row>
    <row r="983" spans="1:21" ht="12.75" customHeight="1" x14ac:dyDescent="0.3">
      <c r="A983" s="530" t="str">
        <f t="shared" si="38"/>
        <v>Conwy.2021.Visitor Days.Staying Visitor</v>
      </c>
      <c r="B983" s="530" t="s">
        <v>219</v>
      </c>
      <c r="C983" s="530" t="str">
        <f t="shared" si="39"/>
        <v>2021.Visitor Days.Staying Visitor</v>
      </c>
      <c r="D983" s="530" t="s">
        <v>241</v>
      </c>
      <c r="E983" s="530" t="s">
        <v>171</v>
      </c>
      <c r="F983" s="530" t="s">
        <v>140</v>
      </c>
      <c r="G983" s="530" t="s">
        <v>140</v>
      </c>
      <c r="H983" s="530">
        <f>SUM(SUMIFS(H:H,$D:$D,$D983,$E:$E,$E983,$F:$F,{"Serviced Accommodation","Non-Serviced Accommodation","SFR"}))</f>
        <v>0</v>
      </c>
      <c r="I983" s="530">
        <f>SUM(SUMIFS(I:I,$D:$D,$D983,$E:$E,$E983,$F:$F,{"Serviced Accommodation","Non-Serviced Accommodation","SFR"}))</f>
        <v>0</v>
      </c>
      <c r="J983" s="530">
        <f>SUM(SUMIFS(J:J,$D:$D,$D983,$E:$E,$E983,$F:$F,{"Serviced Accommodation","Non-Serviced Accommodation","SFR"}))</f>
        <v>87.243751420892394</v>
      </c>
      <c r="K983" s="530">
        <f>SUM(SUMIFS(K:K,$D:$D,$D983,$E:$E,$E983,$F:$F,{"Serviced Accommodation","Non-Serviced Accommodation","SFR"}))</f>
        <v>454.08082735597122</v>
      </c>
      <c r="L983" s="530">
        <f>SUM(SUMIFS(L:L,$D:$D,$D983,$E:$E,$E983,$F:$F,{"Serviced Accommodation","Non-Serviced Accommodation","SFR"}))</f>
        <v>487.02131220271491</v>
      </c>
      <c r="M983" s="530">
        <f>SUM(SUMIFS(M:M,$D:$D,$D983,$E:$E,$E983,$F:$F,{"Serviced Accommodation","Non-Serviced Accommodation","SFR"}))</f>
        <v>703.07187159454622</v>
      </c>
      <c r="N983" s="530">
        <f>SUM(SUMIFS(N:N,$D:$D,$D983,$E:$E,$E983,$F:$F,{"Serviced Accommodation","Non-Serviced Accommodation","SFR"}))</f>
        <v>1146.1805686164298</v>
      </c>
      <c r="O983" s="530">
        <f>SUM(SUMIFS(O:O,$D:$D,$D983,$E:$E,$E983,$F:$F,{"Serviced Accommodation","Non-Serviced Accommodation","SFR"}))</f>
        <v>1597.9241960483803</v>
      </c>
      <c r="P983" s="530">
        <f>SUM(SUMIFS(P:P,$D:$D,$D983,$E:$E,$E983,$F:$F,{"Serviced Accommodation","Non-Serviced Accommodation","SFR"}))</f>
        <v>1279.4424660332854</v>
      </c>
      <c r="Q983" s="530">
        <f>SUM(SUMIFS(Q:Q,$D:$D,$D983,$E:$E,$E983,$F:$F,{"Serviced Accommodation","Non-Serviced Accommodation","SFR"}))</f>
        <v>1243.3181462036569</v>
      </c>
      <c r="R983" s="530">
        <f>SUM(SUMIFS(R:R,$D:$D,$D983,$E:$E,$E983,$F:$F,{"Serviced Accommodation","Non-Serviced Accommodation","SFR"}))</f>
        <v>335.60597791918934</v>
      </c>
      <c r="S983" s="530">
        <f>SUM(SUMIFS(S:S,$D:$D,$D983,$E:$E,$E983,$F:$F,{"Serviced Accommodation","Non-Serviced Accommodation","SFR"}))</f>
        <v>243.99952717784686</v>
      </c>
      <c r="T983" s="530">
        <f>SUM(SUMIFS(T:T,$D:$D,$D983,$E:$E,$E983,$F:$F,{"Serviced Accommodation","Non-Serviced Accommodation","SFR"}))</f>
        <v>7577.888644572914</v>
      </c>
      <c r="U983" s="530" t="s">
        <v>61</v>
      </c>
    </row>
    <row r="984" spans="1:21" ht="12.75" customHeight="1" x14ac:dyDescent="0.3">
      <c r="A984" s="530" t="str">
        <f t="shared" si="38"/>
        <v>Conwy.2021.Visitor Numbers.Staying Visitor</v>
      </c>
      <c r="B984" s="530" t="s">
        <v>219</v>
      </c>
      <c r="C984" s="530" t="str">
        <f t="shared" si="39"/>
        <v>2021.Visitor Numbers.Staying Visitor</v>
      </c>
      <c r="D984" s="530" t="s">
        <v>241</v>
      </c>
      <c r="E984" s="530" t="s">
        <v>172</v>
      </c>
      <c r="F984" s="530" t="s">
        <v>140</v>
      </c>
      <c r="G984" s="530" t="s">
        <v>140</v>
      </c>
      <c r="H984" s="530">
        <f>SUM(SUMIFS(H:H,$D:$D,$D984,$E:$E,$E984,$F:$F,{"Serviced Accommodation","Non-Serviced Accommodation","SFR"}))</f>
        <v>0</v>
      </c>
      <c r="I984" s="530">
        <f>SUM(SUMIFS(I:I,$D:$D,$D984,$E:$E,$E984,$F:$F,{"Serviced Accommodation","Non-Serviced Accommodation","SFR"}))</f>
        <v>0</v>
      </c>
      <c r="J984" s="530">
        <f>SUM(SUMIFS(J:J,$D:$D,$D984,$E:$E,$E984,$F:$F,{"Serviced Accommodation","Non-Serviced Accommodation","SFR"}))</f>
        <v>18.175781546019252</v>
      </c>
      <c r="K984" s="530">
        <f>SUM(SUMIFS(K:K,$D:$D,$D984,$E:$E,$E984,$F:$F,{"Serviced Accommodation","Non-Serviced Accommodation","SFR"}))</f>
        <v>70.950129274370497</v>
      </c>
      <c r="L984" s="530">
        <f>SUM(SUMIFS(L:L,$D:$D,$D984,$E:$E,$E984,$F:$F,{"Serviced Accommodation","Non-Serviced Accommodation","SFR"}))</f>
        <v>103.25717527270497</v>
      </c>
      <c r="M984" s="530">
        <f>SUM(SUMIFS(M:M,$D:$D,$D984,$E:$E,$E984,$F:$F,{"Serviced Accommodation","Non-Serviced Accommodation","SFR"}))</f>
        <v>176.44730873200189</v>
      </c>
      <c r="N984" s="530">
        <f>SUM(SUMIFS(N:N,$D:$D,$D984,$E:$E,$E984,$F:$F,{"Serviced Accommodation","Non-Serviced Accommodation","SFR"}))</f>
        <v>248.45275518370821</v>
      </c>
      <c r="O984" s="530">
        <f>SUM(SUMIFS(O:O,$D:$D,$D984,$E:$E,$E984,$F:$F,{"Serviced Accommodation","Non-Serviced Accommodation","SFR"}))</f>
        <v>299.09961593802404</v>
      </c>
      <c r="P984" s="530">
        <f>SUM(SUMIFS(P:P,$D:$D,$D984,$E:$E,$E984,$F:$F,{"Serviced Accommodation","Non-Serviced Accommodation","SFR"}))</f>
        <v>245.59774627669475</v>
      </c>
      <c r="Q984" s="530">
        <f>SUM(SUMIFS(Q:Q,$D:$D,$D984,$E:$E,$E984,$F:$F,{"Serviced Accommodation","Non-Serviced Accommodation","SFR"}))</f>
        <v>232.35055799453636</v>
      </c>
      <c r="R984" s="530">
        <f>SUM(SUMIFS(R:R,$D:$D,$D984,$E:$E,$E984,$F:$F,{"Serviced Accommodation","Non-Serviced Accommodation","SFR"}))</f>
        <v>127.75696178449682</v>
      </c>
      <c r="S984" s="530">
        <f>SUM(SUMIFS(S:S,$D:$D,$D984,$E:$E,$E984,$F:$F,{"Serviced Accommodation","Non-Serviced Accommodation","SFR"}))</f>
        <v>90.904062882136103</v>
      </c>
      <c r="T984" s="530">
        <f>SUM(SUMIFS(T:T,$D:$D,$D984,$E:$E,$E984,$F:$F,{"Serviced Accommodation","Non-Serviced Accommodation","SFR"}))</f>
        <v>1612.9920948846927</v>
      </c>
      <c r="U984" s="530" t="s">
        <v>61</v>
      </c>
    </row>
    <row r="985" spans="1:21" ht="12.75" customHeight="1" x14ac:dyDescent="0.3">
      <c r="A985" s="530" t="str">
        <f t="shared" si="38"/>
        <v>Conwy.2021.Vehicle Days.Staying Visitor</v>
      </c>
      <c r="B985" s="530" t="s">
        <v>219</v>
      </c>
      <c r="C985" s="530" t="str">
        <f t="shared" si="39"/>
        <v>2021.Vehicle Days.Staying Visitor</v>
      </c>
      <c r="D985" s="530" t="s">
        <v>241</v>
      </c>
      <c r="E985" s="530" t="s">
        <v>21</v>
      </c>
      <c r="F985" s="530" t="s">
        <v>140</v>
      </c>
      <c r="G985" s="530" t="s">
        <v>140</v>
      </c>
      <c r="H985" s="530">
        <f>SUM(SUMIFS(H:H,$D:$D,$D985,$E:$E,$E985,$F:$F,{"Serviced Accommodation","Non-Serviced Accommodation","SFR"}))</f>
        <v>0</v>
      </c>
      <c r="I985" s="530">
        <f>SUM(SUMIFS(I:I,$D:$D,$D985,$E:$E,$E985,$F:$F,{"Serviced Accommodation","Non-Serviced Accommodation","SFR"}))</f>
        <v>0</v>
      </c>
      <c r="J985" s="530">
        <f>SUM(SUMIFS(J:J,$D:$D,$D985,$E:$E,$E985,$F:$F,{"Serviced Accommodation","Non-Serviced Accommodation","SFR"}))</f>
        <v>23.259394976588297</v>
      </c>
      <c r="K985" s="530">
        <f>SUM(SUMIFS(K:K,$D:$D,$D985,$E:$E,$E985,$F:$F,{"Serviced Accommodation","Non-Serviced Accommodation","SFR"}))</f>
        <v>122.17053720242671</v>
      </c>
      <c r="L985" s="530">
        <f>SUM(SUMIFS(L:L,$D:$D,$D985,$E:$E,$E985,$F:$F,{"Serviced Accommodation","Non-Serviced Accommodation","SFR"}))</f>
        <v>133.1246613181743</v>
      </c>
      <c r="M985" s="530">
        <f>SUM(SUMIFS(M:M,$D:$D,$D985,$E:$E,$E985,$F:$F,{"Serviced Accommodation","Non-Serviced Accommodation","SFR"}))</f>
        <v>197.54578367585111</v>
      </c>
      <c r="N985" s="530">
        <f>SUM(SUMIFS(N:N,$D:$D,$D985,$E:$E,$E985,$F:$F,{"Serviced Accommodation","Non-Serviced Accommodation","SFR"}))</f>
        <v>300.61450701553031</v>
      </c>
      <c r="O985" s="530">
        <f>SUM(SUMIFS(O:O,$D:$D,$D985,$E:$E,$E985,$F:$F,{"Serviced Accommodation","Non-Serviced Accommodation","SFR"}))</f>
        <v>397.97652175025576</v>
      </c>
      <c r="P985" s="530">
        <f>SUM(SUMIFS(P:P,$D:$D,$D985,$E:$E,$E985,$F:$F,{"Serviced Accommodation","Non-Serviced Accommodation","SFR"}))</f>
        <v>329.29170948316107</v>
      </c>
      <c r="Q985" s="530">
        <f>SUM(SUMIFS(Q:Q,$D:$D,$D985,$E:$E,$E985,$F:$F,{"Serviced Accommodation","Non-Serviced Accommodation","SFR"}))</f>
        <v>322.98199052883723</v>
      </c>
      <c r="R985" s="530">
        <f>SUM(SUMIFS(R:R,$D:$D,$D985,$E:$E,$E985,$F:$F,{"Serviced Accommodation","Non-Serviced Accommodation","SFR"}))</f>
        <v>98.861690235419559</v>
      </c>
      <c r="S985" s="530">
        <f>SUM(SUMIFS(S:S,$D:$D,$D985,$E:$E,$E985,$F:$F,{"Serviced Accommodation","Non-Serviced Accommodation","SFR"}))</f>
        <v>60.143700002929222</v>
      </c>
      <c r="T985" s="530">
        <f>SUM(SUMIFS(T:T,$D:$D,$D985,$E:$E,$E985,$F:$F,{"Serviced Accommodation","Non-Serviced Accommodation","SFR"}))</f>
        <v>1985.9704961891737</v>
      </c>
      <c r="U985" s="530" t="s">
        <v>61</v>
      </c>
    </row>
    <row r="986" spans="1:21" ht="12.75" customHeight="1" x14ac:dyDescent="0.3">
      <c r="A986" s="530" t="str">
        <f t="shared" si="38"/>
        <v>Conwy.2021.Vehicle Numbers.Staying Visitor</v>
      </c>
      <c r="B986" s="530" t="s">
        <v>219</v>
      </c>
      <c r="C986" s="530" t="str">
        <f t="shared" si="39"/>
        <v>2021.Vehicle Numbers.Staying Visitor</v>
      </c>
      <c r="D986" s="530" t="s">
        <v>241</v>
      </c>
      <c r="E986" s="530" t="s">
        <v>22</v>
      </c>
      <c r="F986" s="530" t="s">
        <v>140</v>
      </c>
      <c r="G986" s="530" t="s">
        <v>140</v>
      </c>
      <c r="H986" s="530">
        <f>SUM(SUMIFS(H:H,$D:$D,$D986,$E:$E,$E986,$F:$F,{"Serviced Accommodation","Non-Serviced Accommodation","SFR"}))</f>
        <v>0</v>
      </c>
      <c r="I986" s="530">
        <f>SUM(SUMIFS(I:I,$D:$D,$D986,$E:$E,$E986,$F:$F,{"Serviced Accommodation","Non-Serviced Accommodation","SFR"}))</f>
        <v>0</v>
      </c>
      <c r="J986" s="530">
        <f>SUM(SUMIFS(J:J,$D:$D,$D986,$E:$E,$E986,$F:$F,{"Serviced Accommodation","Non-Serviced Accommodation","SFR"}))</f>
        <v>4.8457072867892288</v>
      </c>
      <c r="K986" s="530">
        <f>SUM(SUMIFS(K:K,$D:$D,$D986,$E:$E,$E986,$F:$F,{"Serviced Accommodation","Non-Serviced Accommodation","SFR"}))</f>
        <v>19.089146437879172</v>
      </c>
      <c r="L986" s="530">
        <f>SUM(SUMIFS(L:L,$D:$D,$D986,$E:$E,$E986,$F:$F,{"Serviced Accommodation","Non-Serviced Accommodation","SFR"}))</f>
        <v>28.382827638430342</v>
      </c>
      <c r="M986" s="530">
        <f>SUM(SUMIFS(M:M,$D:$D,$D986,$E:$E,$E986,$F:$F,{"Serviced Accommodation","Non-Serviced Accommodation","SFR"}))</f>
        <v>49.297669985754155</v>
      </c>
      <c r="N986" s="530">
        <f>SUM(SUMIFS(N:N,$D:$D,$D986,$E:$E,$E986,$F:$F,{"Serviced Accommodation","Non-Serviced Accommodation","SFR"}))</f>
        <v>65.180971400074526</v>
      </c>
      <c r="O986" s="530">
        <f>SUM(SUMIFS(O:O,$D:$D,$D986,$E:$E,$E986,$F:$F,{"Serviced Accommodation","Non-Serviced Accommodation","SFR"}))</f>
        <v>75.721165706346525</v>
      </c>
      <c r="P986" s="530">
        <f>SUM(SUMIFS(P:P,$D:$D,$D986,$E:$E,$E986,$F:$F,{"Serviced Accommodation","Non-Serviced Accommodation","SFR"}))</f>
        <v>63.524967857015774</v>
      </c>
      <c r="Q986" s="530">
        <f>SUM(SUMIFS(Q:Q,$D:$D,$D986,$E:$E,$E986,$F:$F,{"Serviced Accommodation","Non-Serviced Accommodation","SFR"}))</f>
        <v>63.098816751916004</v>
      </c>
      <c r="R986" s="530">
        <f>SUM(SUMIFS(R:R,$D:$D,$D986,$E:$E,$E986,$F:$F,{"Serviced Accommodation","Non-Serviced Accommodation","SFR"}))</f>
        <v>38.372087505781074</v>
      </c>
      <c r="S986" s="530">
        <f>SUM(SUMIFS(S:S,$D:$D,$D986,$E:$E,$E986,$F:$F,{"Serviced Accommodation","Non-Serviced Accommodation","SFR"}))</f>
        <v>23.325894457024177</v>
      </c>
      <c r="T986" s="530">
        <f>SUM(SUMIFS(T:T,$D:$D,$D986,$E:$E,$E986,$F:$F,{"Serviced Accommodation","Non-Serviced Accommodation","SFR"}))</f>
        <v>430.83925502701101</v>
      </c>
      <c r="U986" s="530" t="s">
        <v>61</v>
      </c>
    </row>
    <row r="987" spans="1:21" ht="12.75" customHeight="1" x14ac:dyDescent="0.3">
      <c r="A987" s="530" t="str">
        <f t="shared" ref="A987:A992" si="40">B987&amp;"."&amp;D987&amp;"."&amp;E987&amp;"."&amp;F987</f>
        <v>Conwy.2022.Economic Impact.Staying Visitor</v>
      </c>
      <c r="B987" s="530" t="s">
        <v>219</v>
      </c>
      <c r="C987" s="530" t="str">
        <f t="shared" ref="C987:C992" si="41">D987&amp;"."&amp;E987&amp;"."&amp;F987</f>
        <v>2022.Economic Impact.Staying Visitor</v>
      </c>
      <c r="D987" s="530" t="s">
        <v>242</v>
      </c>
      <c r="E987" s="530" t="s">
        <v>17</v>
      </c>
      <c r="F987" s="530" t="s">
        <v>140</v>
      </c>
      <c r="G987" s="530" t="s">
        <v>140</v>
      </c>
      <c r="H987" s="530">
        <f>SUM(SUMIFS(H:H,$D:$D,$D987,$E:$E,$E987,$F:$F,{"Serviced Accommodation","Non-Serviced Accommodation","SFR"}))</f>
        <v>18087.587015123896</v>
      </c>
      <c r="I987" s="530">
        <f>SUM(SUMIFS(I:I,$D:$D,$D987,$E:$E,$E987,$F:$F,{"Serviced Accommodation","Non-Serviced Accommodation","SFR"}))</f>
        <v>21076.28368113983</v>
      </c>
      <c r="J987" s="530">
        <f>SUM(SUMIFS(J:J,$D:$D,$D987,$E:$E,$E987,$F:$F,{"Serviced Accommodation","Non-Serviced Accommodation","SFR"}))</f>
        <v>51491.769348932692</v>
      </c>
      <c r="K987" s="530">
        <f>SUM(SUMIFS(K:K,$D:$D,$D987,$E:$E,$E987,$F:$F,{"Serviced Accommodation","Non-Serviced Accommodation","SFR"}))</f>
        <v>69191.008378156257</v>
      </c>
      <c r="L987" s="530">
        <f>SUM(SUMIFS(L:L,$D:$D,$D987,$E:$E,$E987,$F:$F,{"Serviced Accommodation","Non-Serviced Accommodation","SFR"}))</f>
        <v>79991.951527786994</v>
      </c>
      <c r="M987" s="530">
        <f>SUM(SUMIFS(M:M,$D:$D,$D987,$E:$E,$E987,$F:$F,{"Serviced Accommodation","Non-Serviced Accommodation","SFR"}))</f>
        <v>78933.900322905014</v>
      </c>
      <c r="N987" s="530">
        <f>SUM(SUMIFS(N:N,$D:$D,$D987,$E:$E,$E987,$F:$F,{"Serviced Accommodation","Non-Serviced Accommodation","SFR"}))</f>
        <v>102630.56327011074</v>
      </c>
      <c r="O987" s="530">
        <f>SUM(SUMIFS(O:O,$D:$D,$D987,$E:$E,$E987,$F:$F,{"Serviced Accommodation","Non-Serviced Accommodation","SFR"}))</f>
        <v>99039.712655252486</v>
      </c>
      <c r="P987" s="530">
        <f>SUM(SUMIFS(P:P,$D:$D,$D987,$E:$E,$E987,$F:$F,{"Serviced Accommodation","Non-Serviced Accommodation","SFR"}))</f>
        <v>77715.836992551165</v>
      </c>
      <c r="Q987" s="530">
        <f>SUM(SUMIFS(Q:Q,$D:$D,$D987,$E:$E,$E987,$F:$F,{"Serviced Accommodation","Non-Serviced Accommodation","SFR"}))</f>
        <v>61454.783330927363</v>
      </c>
      <c r="R987" s="530">
        <f>SUM(SUMIFS(R:R,$D:$D,$D987,$E:$E,$E987,$F:$F,{"Serviced Accommodation","Non-Serviced Accommodation","SFR"}))</f>
        <v>36800.499671208483</v>
      </c>
      <c r="S987" s="530">
        <f>SUM(SUMIFS(S:S,$D:$D,$D987,$E:$E,$E987,$F:$F,{"Serviced Accommodation","Non-Serviced Accommodation","SFR"}))</f>
        <v>23723.366751774563</v>
      </c>
      <c r="T987" s="530">
        <f>SUM(SUMIFS(T:T,$D:$D,$D987,$E:$E,$E987,$F:$F,{"Serviced Accommodation","Non-Serviced Accommodation","SFR"}))</f>
        <v>720137.26294586947</v>
      </c>
      <c r="U987" s="530" t="s">
        <v>57</v>
      </c>
    </row>
    <row r="988" spans="1:21" ht="12.75" customHeight="1" x14ac:dyDescent="0.3">
      <c r="A988" s="530" t="str">
        <f t="shared" si="40"/>
        <v>Conwy.2022.Employment.Staying Visitor</v>
      </c>
      <c r="B988" s="530" t="s">
        <v>219</v>
      </c>
      <c r="C988" s="530" t="str">
        <f t="shared" si="41"/>
        <v>2022.Employment.Staying Visitor</v>
      </c>
      <c r="D988" s="530" t="s">
        <v>242</v>
      </c>
      <c r="E988" s="530" t="s">
        <v>20</v>
      </c>
      <c r="F988" s="530" t="s">
        <v>140</v>
      </c>
      <c r="G988" s="530" t="s">
        <v>140</v>
      </c>
      <c r="H988" s="530">
        <f>SUM(SUMIFS(H:H,$D:$D,$D988,$E:$E,$E988,$F:$F,{"Serviced Accommodation","Non-Serviced Accommodation","SFR"}))</f>
        <v>3582.5080102506149</v>
      </c>
      <c r="I988" s="530">
        <f>SUM(SUMIFS(I:I,$D:$D,$D988,$E:$E,$E988,$F:$F,{"Serviced Accommodation","Non-Serviced Accommodation","SFR"}))</f>
        <v>3774.1312137353425</v>
      </c>
      <c r="J988" s="530">
        <f>SUM(SUMIFS(J:J,$D:$D,$D988,$E:$E,$E988,$F:$F,{"Serviced Accommodation","Non-Serviced Accommodation","SFR"}))</f>
        <v>6492.6848127451976</v>
      </c>
      <c r="K988" s="530">
        <f>SUM(SUMIFS(K:K,$D:$D,$D988,$E:$E,$E988,$F:$F,{"Serviced Accommodation","Non-Serviced Accommodation","SFR"}))</f>
        <v>7745.3771102721785</v>
      </c>
      <c r="L988" s="530">
        <f>SUM(SUMIFS(L:L,$D:$D,$D988,$E:$E,$E988,$F:$F,{"Serviced Accommodation","Non-Serviced Accommodation","SFR"}))</f>
        <v>8376.9348593617906</v>
      </c>
      <c r="M988" s="530">
        <f>SUM(SUMIFS(M:M,$D:$D,$D988,$E:$E,$E988,$F:$F,{"Serviced Accommodation","Non-Serviced Accommodation","SFR"}))</f>
        <v>8316.0967130257923</v>
      </c>
      <c r="N988" s="530">
        <f>SUM(SUMIFS(N:N,$D:$D,$D988,$E:$E,$E988,$F:$F,{"Serviced Accommodation","Non-Serviced Accommodation","SFR"}))</f>
        <v>9477.819674549788</v>
      </c>
      <c r="O988" s="530">
        <f>SUM(SUMIFS(O:O,$D:$D,$D988,$E:$E,$E988,$F:$F,{"Serviced Accommodation","Non-Serviced Accommodation","SFR"}))</f>
        <v>9018.3031605752622</v>
      </c>
      <c r="P988" s="530">
        <f>SUM(SUMIFS(P:P,$D:$D,$D988,$E:$E,$E988,$F:$F,{"Serviced Accommodation","Non-Serviced Accommodation","SFR"}))</f>
        <v>7517.1098071895549</v>
      </c>
      <c r="Q988" s="530">
        <f>SUM(SUMIFS(Q:Q,$D:$D,$D988,$E:$E,$E988,$F:$F,{"Serviced Accommodation","Non-Serviced Accommodation","SFR"}))</f>
        <v>7196.6507740080206</v>
      </c>
      <c r="R988" s="530">
        <f>SUM(SUMIFS(R:R,$D:$D,$D988,$E:$E,$E988,$F:$F,{"Serviced Accommodation","Non-Serviced Accommodation","SFR"}))</f>
        <v>4934.3571757969185</v>
      </c>
      <c r="S988" s="530">
        <f>SUM(SUMIFS(S:S,$D:$D,$D988,$E:$E,$E988,$F:$F,{"Serviced Accommodation","Non-Serviced Accommodation","SFR"}))</f>
        <v>3843.3443392151617</v>
      </c>
      <c r="T988" s="530">
        <f>SUM(SUMIFS(T:T,$D:$D,$D988,$E:$E,$E988,$F:$F,{"Serviced Accommodation","Non-Serviced Accommodation","SFR"}))</f>
        <v>6689.6098042271351</v>
      </c>
      <c r="U988" s="530" t="s">
        <v>59</v>
      </c>
    </row>
    <row r="989" spans="1:21" ht="12.75" customHeight="1" x14ac:dyDescent="0.3">
      <c r="A989" s="530" t="str">
        <f t="shared" si="40"/>
        <v>Conwy.2022.Visitor Days.Staying Visitor</v>
      </c>
      <c r="B989" s="530" t="s">
        <v>219</v>
      </c>
      <c r="C989" s="530" t="str">
        <f t="shared" si="41"/>
        <v>2022.Visitor Days.Staying Visitor</v>
      </c>
      <c r="D989" s="530" t="s">
        <v>242</v>
      </c>
      <c r="E989" s="530" t="s">
        <v>171</v>
      </c>
      <c r="F989" s="530" t="s">
        <v>140</v>
      </c>
      <c r="G989" s="530" t="s">
        <v>140</v>
      </c>
      <c r="H989" s="530">
        <f>SUM(SUMIFS(H:H,$D:$D,$D989,$E:$E,$E989,$F:$F,{"Serviced Accommodation","Non-Serviced Accommodation","SFR"}))</f>
        <v>226.56491751297054</v>
      </c>
      <c r="I989" s="530">
        <f>SUM(SUMIFS(I:I,$D:$D,$D989,$E:$E,$E989,$F:$F,{"Serviced Accommodation","Non-Serviced Accommodation","SFR"}))</f>
        <v>235.71783212362132</v>
      </c>
      <c r="J989" s="530">
        <f>SUM(SUMIFS(J:J,$D:$D,$D989,$E:$E,$E989,$F:$F,{"Serviced Accommodation","Non-Serviced Accommodation","SFR"}))</f>
        <v>837.35349861815644</v>
      </c>
      <c r="K989" s="530">
        <f>SUM(SUMIFS(K:K,$D:$D,$D989,$E:$E,$E989,$F:$F,{"Serviced Accommodation","Non-Serviced Accommodation","SFR"}))</f>
        <v>1154.8697323237971</v>
      </c>
      <c r="L989" s="530">
        <f>SUM(SUMIFS(L:L,$D:$D,$D989,$E:$E,$E989,$F:$F,{"Serviced Accommodation","Non-Serviced Accommodation","SFR"}))</f>
        <v>1286.7885245524963</v>
      </c>
      <c r="M989" s="530">
        <f>SUM(SUMIFS(M:M,$D:$D,$D989,$E:$E,$E989,$F:$F,{"Serviced Accommodation","Non-Serviced Accommodation","SFR"}))</f>
        <v>1290.3927764443447</v>
      </c>
      <c r="N989" s="530">
        <f>SUM(SUMIFS(N:N,$D:$D,$D989,$E:$E,$E989,$F:$F,{"Serviced Accommodation","Non-Serviced Accommodation","SFR"}))</f>
        <v>1564.4625291456255</v>
      </c>
      <c r="O989" s="530">
        <f>SUM(SUMIFS(O:O,$D:$D,$D989,$E:$E,$E989,$F:$F,{"Serviced Accommodation","Non-Serviced Accommodation","SFR"}))</f>
        <v>1520.9785504797212</v>
      </c>
      <c r="P989" s="530">
        <f>SUM(SUMIFS(P:P,$D:$D,$D989,$E:$E,$E989,$F:$F,{"Serviced Accommodation","Non-Serviced Accommodation","SFR"}))</f>
        <v>1123.647269305887</v>
      </c>
      <c r="Q989" s="530">
        <f>SUM(SUMIFS(Q:Q,$D:$D,$D989,$E:$E,$E989,$F:$F,{"Serviced Accommodation","Non-Serviced Accommodation","SFR"}))</f>
        <v>1045.4991406197205</v>
      </c>
      <c r="R989" s="530">
        <f>SUM(SUMIFS(R:R,$D:$D,$D989,$E:$E,$E989,$F:$F,{"Serviced Accommodation","Non-Serviced Accommodation","SFR"}))</f>
        <v>503.8870616537672</v>
      </c>
      <c r="S989" s="530">
        <f>SUM(SUMIFS(S:S,$D:$D,$D989,$E:$E,$E989,$F:$F,{"Serviced Accommodation","Non-Serviced Accommodation","SFR"}))</f>
        <v>268.5131243281848</v>
      </c>
      <c r="T989" s="530">
        <f>SUM(SUMIFS(T:T,$D:$D,$D989,$E:$E,$E989,$F:$F,{"Serviced Accommodation","Non-Serviced Accommodation","SFR"}))</f>
        <v>11058.674957108293</v>
      </c>
      <c r="U989" s="530" t="s">
        <v>61</v>
      </c>
    </row>
    <row r="990" spans="1:21" ht="12.75" customHeight="1" x14ac:dyDescent="0.3">
      <c r="A990" s="530" t="str">
        <f t="shared" si="40"/>
        <v>Conwy.2022.Visitor Numbers.Staying Visitor</v>
      </c>
      <c r="B990" s="530" t="s">
        <v>219</v>
      </c>
      <c r="C990" s="530" t="str">
        <f t="shared" si="41"/>
        <v>2022.Visitor Numbers.Staying Visitor</v>
      </c>
      <c r="D990" s="530" t="s">
        <v>242</v>
      </c>
      <c r="E990" s="530" t="s">
        <v>172</v>
      </c>
      <c r="F990" s="530" t="s">
        <v>140</v>
      </c>
      <c r="G990" s="530" t="s">
        <v>140</v>
      </c>
      <c r="H990" s="530">
        <f>SUM(SUMIFS(H:H,$D:$D,$D990,$E:$E,$E990,$F:$F,{"Serviced Accommodation","Non-Serviced Accommodation","SFR"}))</f>
        <v>101.60155205406488</v>
      </c>
      <c r="I990" s="530">
        <f>SUM(SUMIFS(I:I,$D:$D,$D990,$E:$E,$E990,$F:$F,{"Serviced Accommodation","Non-Serviced Accommodation","SFR"}))</f>
        <v>107.42281096465204</v>
      </c>
      <c r="J990" s="530">
        <f>SUM(SUMIFS(J:J,$D:$D,$D990,$E:$E,$E990,$F:$F,{"Serviced Accommodation","Non-Serviced Accommodation","SFR"}))</f>
        <v>213.08774375698647</v>
      </c>
      <c r="K990" s="530">
        <f>SUM(SUMIFS(K:K,$D:$D,$D990,$E:$E,$E990,$F:$F,{"Serviced Accommodation","Non-Serviced Accommodation","SFR"}))</f>
        <v>247.70504158436597</v>
      </c>
      <c r="L990" s="530">
        <f>SUM(SUMIFS(L:L,$D:$D,$D990,$E:$E,$E990,$F:$F,{"Serviced Accommodation","Non-Serviced Accommodation","SFR"}))</f>
        <v>291.48019135375142</v>
      </c>
      <c r="M990" s="530">
        <f>SUM(SUMIFS(M:M,$D:$D,$D990,$E:$E,$E990,$F:$F,{"Serviced Accommodation","Non-Serviced Accommodation","SFR"}))</f>
        <v>274.11493702822042</v>
      </c>
      <c r="N990" s="530">
        <f>SUM(SUMIFS(N:N,$D:$D,$D990,$E:$E,$E990,$F:$F,{"Serviced Accommodation","Non-Serviced Accommodation","SFR"}))</f>
        <v>316.63488325321794</v>
      </c>
      <c r="O990" s="530">
        <f>SUM(SUMIFS(O:O,$D:$D,$D990,$E:$E,$E990,$F:$F,{"Serviced Accommodation","Non-Serviced Accommodation","SFR"}))</f>
        <v>297.29828949124374</v>
      </c>
      <c r="P990" s="530">
        <f>SUM(SUMIFS(P:P,$D:$D,$D990,$E:$E,$E990,$F:$F,{"Serviced Accommodation","Non-Serviced Accommodation","SFR"}))</f>
        <v>229.3359279656182</v>
      </c>
      <c r="Q990" s="530">
        <f>SUM(SUMIFS(Q:Q,$D:$D,$D990,$E:$E,$E990,$F:$F,{"Serviced Accommodation","Non-Serviced Accommodation","SFR"}))</f>
        <v>211.78843083158156</v>
      </c>
      <c r="R990" s="530">
        <f>SUM(SUMIFS(R:R,$D:$D,$D990,$E:$E,$E990,$F:$F,{"Serviced Accommodation","Non-Serviced Accommodation","SFR"}))</f>
        <v>174.00896941849416</v>
      </c>
      <c r="S990" s="530">
        <f>SUM(SUMIFS(S:S,$D:$D,$D990,$E:$E,$E990,$F:$F,{"Serviced Accommodation","Non-Serviced Accommodation","SFR"}))</f>
        <v>108.37774966849808</v>
      </c>
      <c r="T990" s="530">
        <f>SUM(SUMIFS(T:T,$D:$D,$D990,$E:$E,$E990,$F:$F,{"Serviced Accommodation","Non-Serviced Accommodation","SFR"}))</f>
        <v>2572.8565273706945</v>
      </c>
      <c r="U990" s="530" t="s">
        <v>61</v>
      </c>
    </row>
    <row r="991" spans="1:21" ht="12.75" customHeight="1" x14ac:dyDescent="0.3">
      <c r="A991" s="530" t="str">
        <f t="shared" si="40"/>
        <v>Conwy.2022.Vehicle Days.Staying Visitor</v>
      </c>
      <c r="B991" s="530" t="s">
        <v>219</v>
      </c>
      <c r="C991" s="530" t="str">
        <f t="shared" si="41"/>
        <v>2022.Vehicle Days.Staying Visitor</v>
      </c>
      <c r="D991" s="530" t="s">
        <v>242</v>
      </c>
      <c r="E991" s="530" t="s">
        <v>21</v>
      </c>
      <c r="F991" s="530" t="s">
        <v>140</v>
      </c>
      <c r="G991" s="530" t="s">
        <v>140</v>
      </c>
      <c r="H991" s="530">
        <f>SUM(SUMIFS(H:H,$D:$D,$D991,$E:$E,$E991,$F:$F,{"Serviced Accommodation","Non-Serviced Accommodation","SFR"}))</f>
        <v>63.478991782847174</v>
      </c>
      <c r="I991" s="530">
        <f>SUM(SUMIFS(I:I,$D:$D,$D991,$E:$E,$E991,$F:$F,{"Serviced Accommodation","Non-Serviced Accommodation","SFR"}))</f>
        <v>80.578447199929826</v>
      </c>
      <c r="J991" s="530">
        <f>SUM(SUMIFS(J:J,$D:$D,$D991,$E:$E,$E991,$F:$F,{"Serviced Accommodation","Non-Serviced Accommodation","SFR"}))</f>
        <v>232.31945802392727</v>
      </c>
      <c r="K991" s="530">
        <f>SUM(SUMIFS(K:K,$D:$D,$D991,$E:$E,$E991,$F:$F,{"Serviced Accommodation","Non-Serviced Accommodation","SFR"}))</f>
        <v>300.00160564456934</v>
      </c>
      <c r="L991" s="530">
        <f>SUM(SUMIFS(L:L,$D:$D,$D991,$E:$E,$E991,$F:$F,{"Serviced Accommodation","Non-Serviced Accommodation","SFR"}))</f>
        <v>339.11401911112904</v>
      </c>
      <c r="M991" s="530">
        <f>SUM(SUMIFS(M:M,$D:$D,$D991,$E:$E,$E991,$F:$F,{"Serviced Accommodation","Non-Serviced Accommodation","SFR"}))</f>
        <v>343.21550608072488</v>
      </c>
      <c r="N991" s="530">
        <f>SUM(SUMIFS(N:N,$D:$D,$D991,$E:$E,$E991,$F:$F,{"Serviced Accommodation","Non-Serviced Accommodation","SFR"}))</f>
        <v>398.9019855240071</v>
      </c>
      <c r="O991" s="530">
        <f>SUM(SUMIFS(O:O,$D:$D,$D991,$E:$E,$E991,$F:$F,{"Serviced Accommodation","Non-Serviced Accommodation","SFR"}))</f>
        <v>379.45261820115297</v>
      </c>
      <c r="P991" s="530">
        <f>SUM(SUMIFS(P:P,$D:$D,$D991,$E:$E,$E991,$F:$F,{"Serviced Accommodation","Non-Serviced Accommodation","SFR"}))</f>
        <v>290.21797945875619</v>
      </c>
      <c r="Q991" s="530">
        <f>SUM(SUMIFS(Q:Q,$D:$D,$D991,$E:$E,$E991,$F:$F,{"Serviced Accommodation","Non-Serviced Accommodation","SFR"}))</f>
        <v>273.71257775939557</v>
      </c>
      <c r="R991" s="530">
        <f>SUM(SUMIFS(R:R,$D:$D,$D991,$E:$E,$E991,$F:$F,{"Serviced Accommodation","Non-Serviced Accommodation","SFR"}))</f>
        <v>140.19318006994985</v>
      </c>
      <c r="S991" s="530">
        <f>SUM(SUMIFS(S:S,$D:$D,$D991,$E:$E,$E991,$F:$F,{"Serviced Accommodation","Non-Serviced Accommodation","SFR"}))</f>
        <v>69.027301717914909</v>
      </c>
      <c r="T991" s="530">
        <f>SUM(SUMIFS(T:T,$D:$D,$D991,$E:$E,$E991,$F:$F,{"Serviced Accommodation","Non-Serviced Accommodation","SFR"}))</f>
        <v>2910.2136705743033</v>
      </c>
      <c r="U991" s="530" t="s">
        <v>61</v>
      </c>
    </row>
    <row r="992" spans="1:21" ht="12.75" customHeight="1" x14ac:dyDescent="0.3">
      <c r="A992" s="530" t="str">
        <f t="shared" si="40"/>
        <v>Conwy.2022.Vehicle Numbers.Staying Visitor</v>
      </c>
      <c r="B992" s="530" t="s">
        <v>219</v>
      </c>
      <c r="C992" s="530" t="str">
        <f t="shared" si="41"/>
        <v>2022.Vehicle Numbers.Staying Visitor</v>
      </c>
      <c r="D992" s="530" t="s">
        <v>242</v>
      </c>
      <c r="E992" s="530" t="s">
        <v>22</v>
      </c>
      <c r="F992" s="530" t="s">
        <v>140</v>
      </c>
      <c r="G992" s="530" t="s">
        <v>140</v>
      </c>
      <c r="H992" s="530">
        <f>SUM(SUMIFS(H:H,$D:$D,$D992,$E:$E,$E992,$F:$F,{"Serviced Accommodation","Non-Serviced Accommodation","SFR"}))</f>
        <v>27.949089668884856</v>
      </c>
      <c r="I992" s="530">
        <f>SUM(SUMIFS(I:I,$D:$D,$D992,$E:$E,$E992,$F:$F,{"Serviced Accommodation","Non-Serviced Accommodation","SFR"}))</f>
        <v>36.49575345045006</v>
      </c>
      <c r="J992" s="530">
        <f>SUM(SUMIFS(J:J,$D:$D,$D992,$E:$E,$E992,$F:$F,{"Serviced Accommodation","Non-Serviced Accommodation","SFR"}))</f>
        <v>61.887320488395957</v>
      </c>
      <c r="K992" s="530">
        <f>SUM(SUMIFS(K:K,$D:$D,$D992,$E:$E,$E992,$F:$F,{"Serviced Accommodation","Non-Serviced Accommodation","SFR"}))</f>
        <v>64.940102727876692</v>
      </c>
      <c r="L992" s="530">
        <f>SUM(SUMIFS(L:L,$D:$D,$D992,$E:$E,$E992,$F:$F,{"Serviced Accommodation","Non-Serviced Accommodation","SFR"}))</f>
        <v>78.603506375392556</v>
      </c>
      <c r="M992" s="530">
        <f>SUM(SUMIFS(M:M,$D:$D,$D992,$E:$E,$E992,$F:$F,{"Serviced Accommodation","Non-Serviced Accommodation","SFR"}))</f>
        <v>74.207920447963872</v>
      </c>
      <c r="N992" s="530">
        <f>SUM(SUMIFS(N:N,$D:$D,$D992,$E:$E,$E992,$F:$F,{"Serviced Accommodation","Non-Serviced Accommodation","SFR"}))</f>
        <v>81.718869466091306</v>
      </c>
      <c r="O992" s="530">
        <f>SUM(SUMIFS(O:O,$D:$D,$D992,$E:$E,$E992,$F:$F,{"Serviced Accommodation","Non-Serviced Accommodation","SFR"}))</f>
        <v>75.744409957276716</v>
      </c>
      <c r="P992" s="530">
        <f>SUM(SUMIFS(P:P,$D:$D,$D992,$E:$E,$E992,$F:$F,{"Serviced Accommodation","Non-Serviced Accommodation","SFR"}))</f>
        <v>59.69434336849816</v>
      </c>
      <c r="Q992" s="530">
        <f>SUM(SUMIFS(Q:Q,$D:$D,$D992,$E:$E,$E992,$F:$F,{"Serviced Accommodation","Non-Serviced Accommodation","SFR"}))</f>
        <v>58.457207910382095</v>
      </c>
      <c r="R992" s="530">
        <f>SUM(SUMIFS(R:R,$D:$D,$D992,$E:$E,$E992,$F:$F,{"Serviced Accommodation","Non-Serviced Accommodation","SFR"}))</f>
        <v>50.298705961673527</v>
      </c>
      <c r="S992" s="530">
        <f>SUM(SUMIFS(S:S,$D:$D,$D992,$E:$E,$E992,$F:$F,{"Serviced Accommodation","Non-Serviced Accommodation","SFR"}))</f>
        <v>28.595864687315093</v>
      </c>
      <c r="T992" s="530">
        <f>SUM(SUMIFS(T:T,$D:$D,$D992,$E:$E,$E992,$F:$F,{"Serviced Accommodation","Non-Serviced Accommodation","SFR"}))</f>
        <v>698.5930945102009</v>
      </c>
      <c r="U992" s="530" t="s">
        <v>61</v>
      </c>
    </row>
  </sheetData>
  <sheetProtection algorithmName="SHA-512" hashValue="COX/aV5qzZu0mB3iOX5Q31t3FNGFsEhybC3duFL74m41AqjSVfP0/ZaeIYpp9cYb6wqPKDUfNljkgP54gfrlMg==" saltValue="L8zcyieRwHIMakvrP5mLcw==" spinCount="100000" sheet="1" objects="1" scenarios="1" autoFilter="0"/>
  <autoFilter ref="A8:U992" xr:uid="{00000000-0009-0000-0000-000012000000}">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GTS01">
    <tabColor rgb="FFFF0000"/>
  </sheetPr>
  <dimension ref="A1:P70"/>
  <sheetViews>
    <sheetView showGridLines="0" showRowColHeaders="0" showZeros="0" zoomScale="87" zoomScaleNormal="87" workbookViewId="0">
      <selection activeCell="D15" sqref="D15"/>
    </sheetView>
  </sheetViews>
  <sheetFormatPr defaultColWidth="18.6640625" defaultRowHeight="12.9" customHeight="1" x14ac:dyDescent="0.3"/>
  <cols>
    <col min="1" max="1" width="8.88671875" style="2" customWidth="1"/>
    <col min="2" max="2" width="2.88671875" style="2" customWidth="1"/>
    <col min="3" max="3" width="14.44140625" style="2" customWidth="1"/>
    <col min="4" max="4" width="21.109375" style="2" customWidth="1"/>
    <col min="5" max="7" width="12.109375" style="2" customWidth="1"/>
    <col min="8" max="8" width="3.33203125" style="2" customWidth="1"/>
    <col min="9" max="9" width="31.33203125" style="2" customWidth="1"/>
    <col min="10" max="10" width="24.44140625" style="2" customWidth="1"/>
    <col min="11" max="11" width="14.44140625" style="2" customWidth="1"/>
    <col min="12" max="14" width="8.88671875" style="2" customWidth="1"/>
    <col min="15" max="15" width="23.44140625" style="2" customWidth="1"/>
    <col min="16" max="16" width="21.33203125" style="2" customWidth="1"/>
    <col min="17" max="16384" width="18.6640625" style="2"/>
  </cols>
  <sheetData>
    <row r="1" spans="1:16" ht="13.8" x14ac:dyDescent="0.3">
      <c r="A1" s="9" t="str">
        <f ca="1">MID(CELL("filename",A1),FIND("]",CELL("filename",A1))+1,255)</f>
        <v>GTS_SHEET</v>
      </c>
    </row>
    <row r="2" spans="1:16" ht="15.6" x14ac:dyDescent="0.3">
      <c r="C2" s="788" t="s">
        <v>80</v>
      </c>
      <c r="D2" s="788"/>
      <c r="E2" s="788"/>
      <c r="F2" s="788"/>
      <c r="G2" s="788"/>
      <c r="I2" s="792" t="s">
        <v>13</v>
      </c>
      <c r="J2" s="792"/>
      <c r="K2" s="792"/>
      <c r="L2" s="792"/>
      <c r="M2" s="792"/>
      <c r="N2" s="792"/>
      <c r="O2" s="792"/>
      <c r="P2" s="792"/>
    </row>
    <row r="3" spans="1:16" ht="13.8" x14ac:dyDescent="0.3">
      <c r="C3" s="3" t="s">
        <v>1</v>
      </c>
      <c r="D3" s="19" t="s">
        <v>0</v>
      </c>
      <c r="E3" s="4"/>
      <c r="F3" s="4"/>
      <c r="G3" s="4"/>
      <c r="I3" s="3" t="s">
        <v>9</v>
      </c>
      <c r="J3" s="1" t="str">
        <f>UPPER(REP.product&amp;" "&amp;REP.reporttype&amp;" for "&amp;MIN(REP.yearsrange)&amp;"-"&amp;MAX(REP.yearsrange))</f>
        <v>STEAM FINAL TREND REPORT FOR 2011-2022</v>
      </c>
      <c r="K3" s="1"/>
      <c r="L3" s="1"/>
      <c r="M3" s="1"/>
      <c r="N3" s="1"/>
      <c r="O3" s="1"/>
      <c r="P3" s="1"/>
    </row>
    <row r="4" spans="1:16" ht="13.8" x14ac:dyDescent="0.3">
      <c r="C4" s="3" t="s">
        <v>2</v>
      </c>
      <c r="D4" s="19" t="s">
        <v>3</v>
      </c>
      <c r="E4" s="4"/>
      <c r="F4" s="4"/>
      <c r="G4" s="4"/>
      <c r="I4" s="3" t="s">
        <v>10</v>
      </c>
      <c r="J4" s="1" t="str">
        <f>UPPER(IF(ISBLANK(REP.authority),REP.subzone,IF(ISBLANK(REP.subzone),REP.authority,REP.authority&amp;" - "&amp;REP.subzone)))</f>
        <v>CONWY COUNTY BOROUGH COUNCIL</v>
      </c>
      <c r="K4" s="1"/>
      <c r="L4" s="1"/>
      <c r="M4" s="1"/>
      <c r="N4" s="1"/>
      <c r="O4" s="1"/>
      <c r="P4" s="1"/>
    </row>
    <row r="5" spans="1:16" ht="13.8" x14ac:dyDescent="0.3">
      <c r="C5" s="3" t="s">
        <v>4</v>
      </c>
      <c r="D5" s="19" t="str">
        <f>REP.status&amp;" Trend Report"</f>
        <v>Final Trend Report</v>
      </c>
      <c r="E5" s="4"/>
      <c r="F5" s="4"/>
      <c r="G5" s="4"/>
      <c r="I5" s="3" t="s">
        <v>11</v>
      </c>
      <c r="J5" s="1" t="str">
        <f>"This report is copyright © "&amp;REP.gts&amp;" "&amp;YEAR(REP.issued)</f>
        <v>This report is copyright © Global Tourism Solutions (UK) Ltd 2023</v>
      </c>
      <c r="K5" s="1"/>
      <c r="L5" s="1"/>
      <c r="M5" s="1"/>
      <c r="N5" s="1"/>
      <c r="O5" s="1"/>
      <c r="P5" s="1"/>
    </row>
    <row r="6" spans="1:16" ht="13.8" x14ac:dyDescent="0.3">
      <c r="C6" s="3" t="s">
        <v>5</v>
      </c>
      <c r="D6" s="689" t="s">
        <v>205</v>
      </c>
      <c r="E6" s="680"/>
      <c r="F6" s="680"/>
      <c r="G6" s="680"/>
      <c r="I6" s="3" t="s">
        <v>12</v>
      </c>
      <c r="J6" s="1" t="str">
        <f>"Report Prepared by: "&amp;REP.user&amp;". Date of Issue: "&amp;TEXT(REP.issued,"DD/MM/YY")</f>
        <v>Report Prepared by: Cathy James. Date of Issue: 14/08/23</v>
      </c>
      <c r="K6" s="1"/>
      <c r="L6" s="1"/>
      <c r="M6" s="1"/>
      <c r="N6" s="1"/>
      <c r="O6" s="1"/>
      <c r="P6" s="1"/>
    </row>
    <row r="7" spans="1:16" ht="13.8" x14ac:dyDescent="0.3">
      <c r="C7" s="3" t="s">
        <v>6</v>
      </c>
      <c r="D7" s="689"/>
      <c r="E7" s="680"/>
      <c r="F7" s="680"/>
      <c r="G7" s="680"/>
    </row>
    <row r="8" spans="1:16" ht="13.8" x14ac:dyDescent="0.3">
      <c r="C8" s="3" t="s">
        <v>7</v>
      </c>
      <c r="D8" s="682" t="s">
        <v>204</v>
      </c>
      <c r="E8" s="680"/>
      <c r="F8" s="680"/>
      <c r="G8" s="680"/>
      <c r="I8" s="3" t="s">
        <v>40</v>
      </c>
      <c r="J8" s="33">
        <f>INDEX(rep.percenthighlightchoices,rep.percenthighlightno)</f>
        <v>0.03</v>
      </c>
      <c r="K8" s="22">
        <v>1</v>
      </c>
      <c r="L8" s="57">
        <v>0.03</v>
      </c>
    </row>
    <row r="9" spans="1:16" ht="13.8" x14ac:dyDescent="0.3">
      <c r="C9" s="3" t="s">
        <v>8</v>
      </c>
      <c r="D9" s="681">
        <v>45152</v>
      </c>
      <c r="E9" s="680"/>
      <c r="F9" s="680"/>
      <c r="G9" s="680"/>
      <c r="I9" s="3" t="s">
        <v>107</v>
      </c>
      <c r="J9" s="1" t="str">
        <f>"A Fall of "&amp;TEXT(REP.percenthighlight,"0%")&amp;" or more"</f>
        <v>A Fall of 3% or more</v>
      </c>
      <c r="L9" s="57">
        <v>0.05</v>
      </c>
    </row>
    <row r="10" spans="1:16" ht="13.8" x14ac:dyDescent="0.3">
      <c r="C10" s="3" t="s">
        <v>65</v>
      </c>
      <c r="D10" s="682" t="s">
        <v>68</v>
      </c>
      <c r="E10" s="680"/>
      <c r="F10" s="680"/>
      <c r="G10" s="680"/>
      <c r="I10" s="3" t="s">
        <v>108</v>
      </c>
      <c r="J10" s="1" t="str">
        <f>"An increase of "&amp;TEXT(REP.percenthighlight,"0%")&amp;" or more"</f>
        <v>An increase of 3% or more</v>
      </c>
      <c r="L10" s="57">
        <v>0.1</v>
      </c>
    </row>
    <row r="11" spans="1:16" ht="13.8" x14ac:dyDescent="0.3">
      <c r="C11" s="3" t="s">
        <v>67</v>
      </c>
      <c r="D11" s="685" t="s">
        <v>68</v>
      </c>
      <c r="E11" s="1"/>
      <c r="F11" s="1"/>
      <c r="G11" s="1"/>
      <c r="I11" s="3" t="s">
        <v>109</v>
      </c>
      <c r="J11" s="1" t="str">
        <f>"Less than "&amp;TEXT(REP.percenthighlight,"0%")&amp;" change"</f>
        <v>Less than 3% change</v>
      </c>
      <c r="L11" s="57">
        <v>0.15</v>
      </c>
    </row>
    <row r="12" spans="1:16" ht="13.8" x14ac:dyDescent="0.3">
      <c r="C12" s="3"/>
      <c r="D12" s="685" t="s">
        <v>66</v>
      </c>
      <c r="E12" s="1"/>
      <c r="F12" s="1"/>
      <c r="G12" s="1"/>
    </row>
    <row r="13" spans="1:16" ht="13.8" x14ac:dyDescent="0.3">
      <c r="C13" s="3"/>
      <c r="D13" s="685" t="s">
        <v>170</v>
      </c>
      <c r="E13" s="1"/>
      <c r="F13" s="1"/>
      <c r="G13" s="1"/>
      <c r="J13" s="34"/>
    </row>
    <row r="14" spans="1:16" ht="13.8" x14ac:dyDescent="0.3">
      <c r="C14" s="3" t="s">
        <v>103</v>
      </c>
      <c r="D14" s="682" t="s">
        <v>206</v>
      </c>
      <c r="E14" s="680"/>
      <c r="F14" s="680"/>
      <c r="G14" s="680"/>
    </row>
    <row r="15" spans="1:16" ht="13.8" x14ac:dyDescent="0.3">
      <c r="C15" s="3" t="s">
        <v>104</v>
      </c>
      <c r="D15" s="685" t="str">
        <f>IF(REP.indexed="NO","UNINDEXED","INDEXED")</f>
        <v>INDEXED</v>
      </c>
      <c r="E15" s="1"/>
      <c r="F15" s="1"/>
      <c r="G15" s="1"/>
    </row>
    <row r="16" spans="1:16" ht="13.8" x14ac:dyDescent="0.3"/>
    <row r="17" spans="2:16" ht="15.6" x14ac:dyDescent="0.3">
      <c r="C17" s="12" t="s">
        <v>81</v>
      </c>
      <c r="D17" s="15" t="str">
        <f ca="1">"'"&amp;$A$1&amp;"'!"&amp;CELL("address",$D$19)&amp;":"&amp;CELL("address",OFFSET($D$19,COUNT(REP.yearsrange)-1,0))</f>
        <v>'GTS_SHEET'!$D$19:$D$30</v>
      </c>
      <c r="E17" s="12"/>
      <c r="F17" s="12"/>
      <c r="I17" s="15" t="s">
        <v>119</v>
      </c>
      <c r="J17" s="15" t="str">
        <f ca="1">"'"&amp;$A$1&amp;"'!"&amp;CELL("address",$J$20)&amp;":"&amp;CELL("address",OFFSET($J$20,COUNT(REP.yearsrange)-2,0))</f>
        <v>'GTS_SHEET'!$J$20:$J$30</v>
      </c>
      <c r="K17" s="15" t="str">
        <f ca="1">"'"&amp;$A$1&amp;"'!"&amp;CELL("address",$D$19)&amp;":"&amp;CELL("address",OFFSET($D$19,FOCUSYEAR.no-1,0))</f>
        <v>'GTS_SHEET'!$D$19:$D$30</v>
      </c>
      <c r="L17" s="15"/>
      <c r="M17" s="15"/>
    </row>
    <row r="18" spans="2:16" ht="36" customHeight="1" x14ac:dyDescent="0.3">
      <c r="B18" s="18" t="s">
        <v>64</v>
      </c>
      <c r="C18" s="679" t="s">
        <v>14</v>
      </c>
      <c r="D18" s="10" t="s">
        <v>16</v>
      </c>
      <c r="E18" s="11" t="s">
        <v>47</v>
      </c>
      <c r="F18" s="11" t="str">
        <f>"Indexation to Focus Year "&amp;"("&amp;FOCUSYEAR&amp;")"</f>
        <v>Indexation to Focus Year (2022)</v>
      </c>
      <c r="G18" s="11" t="str">
        <f>"Indexation to "&amp;MAX(REP.yearsrange)</f>
        <v>Indexation to 2022</v>
      </c>
      <c r="I18" s="11" t="s">
        <v>69</v>
      </c>
      <c r="J18" s="24" t="s">
        <v>70</v>
      </c>
      <c r="K18" s="790" t="s">
        <v>63</v>
      </c>
      <c r="L18" s="791"/>
      <c r="M18" s="791"/>
      <c r="O18" s="7" t="s">
        <v>84</v>
      </c>
    </row>
    <row r="19" spans="2:16" ht="13.8" x14ac:dyDescent="0.3">
      <c r="B19" s="8">
        <v>12</v>
      </c>
      <c r="C19" s="5">
        <v>1</v>
      </c>
      <c r="D19" s="683">
        <v>2011</v>
      </c>
      <c r="E19" s="786">
        <f ca="1">IF(D19="","",IFERROR(INDEX('SECTORAL ANALYSIS'!$G$10:$R$19,7,GTS_SHEET!$C19)/INDEX('SECTORAL ANALYSIS'!$G$10:$R$19,6,GTS_SHEET!$C19),0))</f>
        <v>0.20000000000000004</v>
      </c>
      <c r="F19" s="6">
        <f t="array" ref="F19:F30">IFERROR(IF(REP.indexed="NO",1,INDEX(REP.indexationtable,MATCH(REP.yearsrange,'RPI13'!$A$1:$A$29,0),MATCH(FOCUSYEAR,'RPI13'!$A$1:$AC$1,0))),"")</f>
        <v>1.3874181822756195</v>
      </c>
      <c r="G19" s="6">
        <f t="array" ref="G19:G30">IFERROR(IF(REP.indexed="NO",1,INDEX(REP.indexationtable,MATCH(REP.yearsrange,'RPI13'!$A$1:$A$29,0),MATCH(MAX(REP.yearsrange),'RPI13'!$A$1:$AC$1,0))),"")</f>
        <v>1.3874181822756195</v>
      </c>
      <c r="I19" s="25" t="s">
        <v>73</v>
      </c>
      <c r="J19" s="26" t="str">
        <f>MIN(REP.yearsrange)&amp;" - "&amp;MAX(REP.yearsrange)-1</f>
        <v>2011 - 2021</v>
      </c>
      <c r="K19" s="16" t="str">
        <f>IF(J19="#N/A","",I19&amp;" "&amp;J19)</f>
        <v>the Average for 2011 - 2021</v>
      </c>
      <c r="L19" s="16"/>
      <c r="M19" s="16"/>
      <c r="O19" s="7" t="s">
        <v>85</v>
      </c>
    </row>
    <row r="20" spans="2:16" ht="13.8" x14ac:dyDescent="0.3">
      <c r="B20" s="8">
        <f>B19-1</f>
        <v>11</v>
      </c>
      <c r="C20" s="5">
        <v>2</v>
      </c>
      <c r="D20" s="683">
        <v>2012</v>
      </c>
      <c r="E20" s="786">
        <f ca="1">IF(D20="","",IFERROR(INDEX('SECTORAL ANALYSIS'!$G$10:$R$19,7,GTS_SHEET!$C20)/INDEX('SECTORAL ANALYSIS'!$G$10:$R$19,6,GTS_SHEET!$C20),0))</f>
        <v>0.2</v>
      </c>
      <c r="F20" s="6">
        <v>1.334954471543943</v>
      </c>
      <c r="G20" s="6">
        <v>1.334954471543943</v>
      </c>
      <c r="I20" s="25"/>
      <c r="J20" s="26">
        <f t="array" ref="J20:J32">IF(OR(ISERROR(INDEX(REP.yearsrange,REP.yearnos)),ISBLANK(INDEX(REP.yearsrange,REP.yearnos)),INDEX(REP.yearsrange,REP.yearnos)=MAX(REP.yearsrange)),"",INDEX(REP.yearsrange,REP.yearnos))</f>
        <v>2011</v>
      </c>
      <c r="K20" s="16">
        <f>IF(ISNA(J20),"",J20)</f>
        <v>2011</v>
      </c>
      <c r="L20" s="16"/>
      <c r="M20" s="16"/>
      <c r="O20" s="7" t="s">
        <v>86</v>
      </c>
    </row>
    <row r="21" spans="2:16" ht="13.8" x14ac:dyDescent="0.3">
      <c r="B21" s="8">
        <f t="shared" ref="B21:B30" si="0">B20-1</f>
        <v>10</v>
      </c>
      <c r="C21" s="5">
        <v>3</v>
      </c>
      <c r="D21" s="683">
        <v>2013</v>
      </c>
      <c r="E21" s="786">
        <f ca="1">IF(D21="","",IFERROR(INDEX('SECTORAL ANALYSIS'!$G$10:$R$19,7,GTS_SHEET!$C21)/INDEX('SECTORAL ANALYSIS'!$G$10:$R$19,6,GTS_SHEET!$C21),0))</f>
        <v>0.2</v>
      </c>
      <c r="F21" s="6">
        <v>1.2925585510688835</v>
      </c>
      <c r="G21" s="6">
        <v>1.2925585510688835</v>
      </c>
      <c r="I21" s="25"/>
      <c r="J21" s="26">
        <v>2012</v>
      </c>
      <c r="K21" s="16">
        <f t="shared" ref="K21:K32" si="1">IF(ISNA(J21),"",J21)</f>
        <v>2012</v>
      </c>
      <c r="L21" s="16"/>
      <c r="M21" s="16"/>
      <c r="O21" s="31" t="s">
        <v>87</v>
      </c>
    </row>
    <row r="22" spans="2:16" ht="13.8" x14ac:dyDescent="0.3">
      <c r="B22" s="8">
        <f t="shared" si="0"/>
        <v>9</v>
      </c>
      <c r="C22" s="5">
        <v>4</v>
      </c>
      <c r="D22" s="683">
        <v>2014</v>
      </c>
      <c r="E22" s="786">
        <f ca="1">IF(D22="","",IFERROR(INDEX('SECTORAL ANALYSIS'!$G$10:$R$19,7,GTS_SHEET!$C22)/INDEX('SECTORAL ANALYSIS'!$G$10:$R$19,6,GTS_SHEET!$C22),0))</f>
        <v>0.20000000000000004</v>
      </c>
      <c r="F22" s="6">
        <v>1.2577197149643706</v>
      </c>
      <c r="G22" s="6">
        <v>1.2577197149643706</v>
      </c>
      <c r="I22" s="25" t="str">
        <f t="array" ref="I22:I31">IF(OR(ISERROR(INDEX(REP.yearsrange,REP.yearnos)),ISBLANK(INDEX(REP.yearsrange,REP.yearnos)),INDEX(REP.yearsrange,REP.yearnos)=MAX(REP.yearsrange)),"","")</f>
        <v/>
      </c>
      <c r="J22" s="27">
        <v>2013</v>
      </c>
      <c r="K22" s="16">
        <f t="shared" si="1"/>
        <v>2013</v>
      </c>
      <c r="L22" s="16"/>
      <c r="M22" s="16"/>
      <c r="N22" s="17"/>
      <c r="O22" s="32" t="s">
        <v>88</v>
      </c>
    </row>
    <row r="23" spans="2:16" ht="13.8" x14ac:dyDescent="0.3">
      <c r="B23" s="8">
        <f t="shared" si="0"/>
        <v>8</v>
      </c>
      <c r="C23" s="5">
        <v>5</v>
      </c>
      <c r="D23" s="683">
        <v>2015</v>
      </c>
      <c r="E23" s="786">
        <f ca="1">IF(D23="","",IFERROR(INDEX('SECTORAL ANALYSIS'!$G$10:$R$19,7,GTS_SHEET!$C23)/INDEX('SECTORAL ANALYSIS'!$G$10:$R$19,6,GTS_SHEET!$C23),0))</f>
        <v>0.2</v>
      </c>
      <c r="F23" s="6">
        <v>1.243931088488645</v>
      </c>
      <c r="G23" s="6">
        <v>1.243931088488645</v>
      </c>
      <c r="I23" s="25" t="str">
        <v/>
      </c>
      <c r="J23" s="27">
        <v>2014</v>
      </c>
      <c r="K23" s="16">
        <f t="shared" si="1"/>
        <v>2014</v>
      </c>
      <c r="L23" s="16"/>
      <c r="M23" s="16"/>
      <c r="N23" s="17"/>
    </row>
    <row r="24" spans="2:16" ht="13.8" x14ac:dyDescent="0.3">
      <c r="B24" s="8">
        <f t="shared" si="0"/>
        <v>7</v>
      </c>
      <c r="C24" s="5">
        <v>6</v>
      </c>
      <c r="D24" s="683">
        <v>2016</v>
      </c>
      <c r="E24" s="786">
        <f ca="1">IF(D24="","",IFERROR(INDEX('SECTORAL ANALYSIS'!$G$10:$R$19,7,GTS_SHEET!$C24)/INDEX('SECTORAL ANALYSIS'!$G$10:$R$19,6,GTS_SHEET!$C24),0))</f>
        <v>0.2</v>
      </c>
      <c r="F24" s="6">
        <v>1.2275888717156105</v>
      </c>
      <c r="G24" s="6">
        <v>1.2275888717156105</v>
      </c>
      <c r="I24" s="25" t="str">
        <v/>
      </c>
      <c r="J24" s="28">
        <v>2015</v>
      </c>
      <c r="K24" s="16">
        <f t="shared" si="1"/>
        <v>2015</v>
      </c>
      <c r="L24" s="16"/>
      <c r="M24" s="16"/>
      <c r="N24" s="17"/>
      <c r="O24" s="767" t="s">
        <v>194</v>
      </c>
    </row>
    <row r="25" spans="2:16" ht="13.8" x14ac:dyDescent="0.3">
      <c r="B25" s="8">
        <f t="shared" si="0"/>
        <v>6</v>
      </c>
      <c r="C25" s="5">
        <v>7</v>
      </c>
      <c r="D25" s="683">
        <v>2017</v>
      </c>
      <c r="E25" s="786">
        <f ca="1">IF(D25="","",IFERROR(INDEX('SECTORAL ANALYSIS'!$G$10:$R$19,7,GTS_SHEET!$C25)/INDEX('SECTORAL ANALYSIS'!$G$10:$R$19,6,GTS_SHEET!$C25),0))</f>
        <v>0.20000000000000004</v>
      </c>
      <c r="F25" s="6">
        <v>1.1966101694915252</v>
      </c>
      <c r="G25" s="6">
        <v>1.1966101694915252</v>
      </c>
      <c r="I25" s="25" t="str">
        <v/>
      </c>
      <c r="J25" s="28">
        <v>2016</v>
      </c>
      <c r="K25" s="16">
        <f t="shared" si="1"/>
        <v>2016</v>
      </c>
      <c r="L25" s="16"/>
      <c r="M25" s="16"/>
      <c r="N25" s="17"/>
      <c r="O25" s="767" t="s">
        <v>195</v>
      </c>
    </row>
    <row r="26" spans="2:16" ht="13.8" x14ac:dyDescent="0.3">
      <c r="B26" s="8">
        <f t="shared" si="0"/>
        <v>5</v>
      </c>
      <c r="C26" s="5">
        <v>8</v>
      </c>
      <c r="D26" s="683">
        <v>2018</v>
      </c>
      <c r="E26" s="786">
        <f ca="1">IF(D26="","",IFERROR(INDEX('SECTORAL ANALYSIS'!$G$10:$R$19,7,GTS_SHEET!$C26)/INDEX('SECTORAL ANALYSIS'!$G$10:$R$19,6,GTS_SHEET!$C26),0))</f>
        <v>0.20000000000000004</v>
      </c>
      <c r="F26" s="6">
        <v>1.151086956521739</v>
      </c>
      <c r="G26" s="6">
        <v>1.151086956521739</v>
      </c>
      <c r="I26" s="25" t="str">
        <v/>
      </c>
      <c r="J26" s="28">
        <v>2017</v>
      </c>
      <c r="K26" s="16">
        <f t="shared" si="1"/>
        <v>2017</v>
      </c>
      <c r="L26" s="16"/>
      <c r="M26" s="16"/>
      <c r="N26" s="17"/>
      <c r="O26" s="767" t="s">
        <v>196</v>
      </c>
    </row>
    <row r="27" spans="2:16" ht="13.8" x14ac:dyDescent="0.3">
      <c r="B27" s="8">
        <f t="shared" si="0"/>
        <v>4</v>
      </c>
      <c r="C27" s="5">
        <v>9</v>
      </c>
      <c r="D27" s="683">
        <v>2019</v>
      </c>
      <c r="E27" s="786">
        <f ca="1">IF(D27="","",IFERROR(INDEX('SECTORAL ANALYSIS'!$G$10:$R$19,7,GTS_SHEET!$C27)/INDEX('SECTORAL ANALYSIS'!$G$10:$R$19,6,GTS_SHEET!$C27),0))</f>
        <v>0.1999999999999999</v>
      </c>
      <c r="F27" s="6">
        <v>1.1226148409893992</v>
      </c>
      <c r="G27" s="6">
        <v>1.1226148409893992</v>
      </c>
      <c r="I27" s="25" t="str">
        <v/>
      </c>
      <c r="J27" s="28">
        <v>2018</v>
      </c>
      <c r="K27" s="16">
        <f t="shared" si="1"/>
        <v>2018</v>
      </c>
      <c r="L27" s="16"/>
      <c r="M27" s="16"/>
      <c r="N27" s="17"/>
      <c r="O27" s="767" t="s">
        <v>197</v>
      </c>
    </row>
    <row r="28" spans="2:16" ht="13.8" x14ac:dyDescent="0.3">
      <c r="B28" s="8">
        <f t="shared" si="0"/>
        <v>3</v>
      </c>
      <c r="C28" s="5">
        <v>10</v>
      </c>
      <c r="D28" s="683">
        <v>2020</v>
      </c>
      <c r="E28" s="786">
        <f ca="1">IF(D28="","",IFERROR(INDEX('SECTORAL ANALYSIS'!$G$10:$R$19,7,GTS_SHEET!$C28)/INDEX('SECTORAL ANALYSIS'!$G$10:$R$19,6,GTS_SHEET!$C28),0))</f>
        <v>0.1484345831543791</v>
      </c>
      <c r="F28" s="6">
        <v>1.093255333792154</v>
      </c>
      <c r="G28" s="6">
        <v>1.093255333792154</v>
      </c>
      <c r="I28" s="25" t="str">
        <v/>
      </c>
      <c r="J28" s="26">
        <v>2019</v>
      </c>
      <c r="K28" s="16">
        <f t="shared" si="1"/>
        <v>2019</v>
      </c>
      <c r="L28" s="16"/>
      <c r="M28" s="16"/>
      <c r="N28" s="17"/>
      <c r="O28" s="761" t="s">
        <v>0</v>
      </c>
      <c r="P28" s="761"/>
    </row>
    <row r="29" spans="2:16" ht="13.8" x14ac:dyDescent="0.3">
      <c r="B29" s="8">
        <f t="shared" si="0"/>
        <v>2</v>
      </c>
      <c r="C29" s="5">
        <v>11</v>
      </c>
      <c r="D29" s="683">
        <v>2021</v>
      </c>
      <c r="E29" s="786">
        <f ca="1">IF(D29="","",IFERROR(INDEX('SECTORAL ANALYSIS'!$G$10:$R$19,7,GTS_SHEET!$C29)/INDEX('SECTORAL ANALYSIS'!$G$10:$R$19,6,GTS_SHEET!$C29),0))</f>
        <v>0.1315386386535263</v>
      </c>
      <c r="F29" s="6">
        <v>1.0784114052953155</v>
      </c>
      <c r="G29" s="6">
        <v>1.0784114052953155</v>
      </c>
      <c r="I29" s="25" t="str">
        <v/>
      </c>
      <c r="J29" s="29">
        <v>2020</v>
      </c>
      <c r="K29" s="16">
        <f t="shared" si="1"/>
        <v>2020</v>
      </c>
      <c r="L29" s="16"/>
      <c r="M29" s="16"/>
      <c r="N29" s="17"/>
      <c r="O29" s="761" t="s">
        <v>98</v>
      </c>
      <c r="P29" s="761"/>
    </row>
    <row r="30" spans="2:16" ht="13.8" x14ac:dyDescent="0.3">
      <c r="B30" s="8">
        <f t="shared" si="0"/>
        <v>1</v>
      </c>
      <c r="C30" s="5">
        <v>12</v>
      </c>
      <c r="D30" s="683">
        <v>2022</v>
      </c>
      <c r="E30" s="786">
        <f ca="1">IF(D30="","",IFERROR(INDEX('SECTORAL ANALYSIS'!$G$10:$R$19,7,GTS_SHEET!$C30)/INDEX('SECTORAL ANALYSIS'!$G$10:$R$19,6,GTS_SHEET!$C30),0))</f>
        <v>0.19544821499910148</v>
      </c>
      <c r="F30" s="6">
        <v>1</v>
      </c>
      <c r="G30" s="6">
        <v>1</v>
      </c>
      <c r="I30" s="25" t="str">
        <v/>
      </c>
      <c r="J30" s="29">
        <v>2021</v>
      </c>
      <c r="K30" s="16">
        <f t="shared" si="1"/>
        <v>2021</v>
      </c>
      <c r="L30" s="16"/>
      <c r="M30" s="16"/>
      <c r="N30" s="17"/>
      <c r="O30" s="761" t="s">
        <v>99</v>
      </c>
      <c r="P30" s="761"/>
    </row>
    <row r="31" spans="2:16" ht="13.8" x14ac:dyDescent="0.3">
      <c r="C31" s="793" t="s">
        <v>62</v>
      </c>
      <c r="D31" s="793"/>
      <c r="E31" s="690">
        <v>1</v>
      </c>
      <c r="F31" s="686" t="str">
        <f>INDEX(REP.YN,INDEX.no)</f>
        <v>YES</v>
      </c>
      <c r="G31" s="684">
        <f>COUNT(REP.yearsrange)</f>
        <v>12</v>
      </c>
      <c r="I31" s="25" t="str">
        <v/>
      </c>
      <c r="J31" s="29" t="str">
        <v/>
      </c>
      <c r="K31" s="16" t="str">
        <f t="shared" si="1"/>
        <v/>
      </c>
      <c r="L31" s="16"/>
      <c r="M31" s="16"/>
      <c r="N31" s="17"/>
      <c r="O31" s="761" t="s">
        <v>100</v>
      </c>
      <c r="P31" s="761"/>
    </row>
    <row r="32" spans="2:16" ht="13.65" customHeight="1" x14ac:dyDescent="0.3">
      <c r="C32" s="789" t="s">
        <v>83</v>
      </c>
      <c r="D32" s="789"/>
      <c r="E32" s="789"/>
      <c r="F32" s="13" t="s">
        <v>41</v>
      </c>
      <c r="I32" s="25"/>
      <c r="J32" s="29" t="e">
        <v>#N/A</v>
      </c>
      <c r="K32" s="16" t="str">
        <f t="shared" si="1"/>
        <v/>
      </c>
      <c r="L32" s="16"/>
      <c r="M32" s="16"/>
      <c r="N32" s="17"/>
      <c r="O32" s="761" t="s">
        <v>101</v>
      </c>
      <c r="P32" s="761"/>
    </row>
    <row r="33" spans="3:16" ht="13.8" x14ac:dyDescent="0.3">
      <c r="C33" s="789"/>
      <c r="D33" s="789"/>
      <c r="E33" s="789"/>
      <c r="F33" s="14" t="s">
        <v>42</v>
      </c>
      <c r="I33" s="49" t="s">
        <v>119</v>
      </c>
      <c r="J33" s="692">
        <v>11</v>
      </c>
      <c r="K33" s="687">
        <f>COMPARISONYEAR</f>
        <v>2021</v>
      </c>
      <c r="L33" s="21"/>
      <c r="M33" s="21"/>
      <c r="N33" s="17"/>
      <c r="O33" s="761" t="s">
        <v>102</v>
      </c>
      <c r="P33" s="761"/>
    </row>
    <row r="34" spans="3:16" ht="12.9" customHeight="1" x14ac:dyDescent="0.3">
      <c r="I34" s="49" t="s">
        <v>125</v>
      </c>
      <c r="J34" s="692">
        <v>12</v>
      </c>
      <c r="K34" s="687">
        <f>FOCUSYEAR</f>
        <v>2022</v>
      </c>
      <c r="L34" s="21"/>
      <c r="M34" s="21"/>
      <c r="O34" s="761"/>
      <c r="P34" s="761"/>
    </row>
    <row r="35" spans="3:16" ht="12.9" customHeight="1" x14ac:dyDescent="0.3">
      <c r="I35" s="88" t="s">
        <v>134</v>
      </c>
      <c r="J35" s="693">
        <v>12</v>
      </c>
      <c r="K35" s="688">
        <f>CHARTYEAR</f>
        <v>2022</v>
      </c>
      <c r="L35" s="16"/>
      <c r="M35" s="16"/>
      <c r="O35" s="761" t="s">
        <v>147</v>
      </c>
      <c r="P35" s="761"/>
    </row>
    <row r="36" spans="3:16" ht="41.4" x14ac:dyDescent="0.3">
      <c r="C36" s="12" t="s">
        <v>82</v>
      </c>
      <c r="D36" s="12"/>
      <c r="E36" s="12"/>
      <c r="F36" s="12"/>
      <c r="G36" s="768">
        <v>3</v>
      </c>
      <c r="I36" s="81" t="s">
        <v>77</v>
      </c>
      <c r="J36" s="82"/>
      <c r="K36" s="83" t="s">
        <v>78</v>
      </c>
      <c r="L36" s="84"/>
      <c r="M36" s="84"/>
      <c r="O36" s="761" t="s">
        <v>148</v>
      </c>
      <c r="P36" s="761"/>
    </row>
    <row r="37" spans="3:16" ht="13.8" x14ac:dyDescent="0.3">
      <c r="C37" s="1"/>
      <c r="D37" s="1"/>
      <c r="E37" s="1"/>
      <c r="F37" s="1"/>
      <c r="O37" s="761" t="s">
        <v>174</v>
      </c>
      <c r="P37" s="761"/>
    </row>
    <row r="38" spans="3:16" ht="13.8" x14ac:dyDescent="0.3">
      <c r="C38" s="1" t="str">
        <f t="array" aca="1" ref="C38:C47" ca="1">INDIRECT("GTS_"&amp;INDEX($O$24:$O$27,$G$36))</f>
        <v>Global Tourism Solutions (UK) Ltd</v>
      </c>
      <c r="D38" s="1"/>
      <c r="E38" s="1"/>
      <c r="F38" s="1"/>
      <c r="O38" s="8"/>
    </row>
    <row r="39" spans="3:16" ht="13.8" x14ac:dyDescent="0.3">
      <c r="C39" s="1" t="str">
        <f ca="1"/>
        <v xml:space="preserve">71 Heol Gwys </v>
      </c>
      <c r="D39" s="1"/>
      <c r="E39" s="1"/>
      <c r="F39" s="1"/>
      <c r="O39" s="762" t="s">
        <v>0</v>
      </c>
      <c r="P39" s="762"/>
    </row>
    <row r="40" spans="3:16" ht="15.6" x14ac:dyDescent="0.3">
      <c r="C40" s="1" t="str">
        <f ca="1"/>
        <v xml:space="preserve">Upper Cwmtwrch </v>
      </c>
      <c r="D40" s="1"/>
      <c r="E40" s="1"/>
      <c r="F40" s="1"/>
      <c r="I40" s="15" t="s">
        <v>72</v>
      </c>
      <c r="J40" s="15"/>
      <c r="O40" s="762" t="s">
        <v>188</v>
      </c>
      <c r="P40" s="762"/>
    </row>
    <row r="41" spans="3:16" ht="13.8" x14ac:dyDescent="0.3">
      <c r="C41" s="1" t="str">
        <f ca="1"/>
        <v xml:space="preserve">Swansea </v>
      </c>
      <c r="D41" s="1"/>
      <c r="E41" s="1"/>
      <c r="F41" s="1"/>
      <c r="I41" s="23" t="s">
        <v>69</v>
      </c>
      <c r="J41" s="11" t="s">
        <v>79</v>
      </c>
      <c r="L41" s="30"/>
      <c r="M41" s="30"/>
      <c r="O41" s="762" t="s">
        <v>189</v>
      </c>
      <c r="P41" s="762"/>
    </row>
    <row r="42" spans="3:16" ht="13.8" x14ac:dyDescent="0.3">
      <c r="C42" s="1" t="str">
        <f ca="1"/>
        <v>SA9 2XH</v>
      </c>
      <c r="D42" s="1"/>
      <c r="E42" s="1"/>
      <c r="F42" s="1"/>
      <c r="I42" s="20" t="s">
        <v>54</v>
      </c>
      <c r="J42" s="1" t="s">
        <v>23</v>
      </c>
      <c r="K42" s="2">
        <v>1</v>
      </c>
      <c r="O42" s="762" t="s">
        <v>190</v>
      </c>
      <c r="P42" s="762"/>
    </row>
    <row r="43" spans="3:16" ht="13.8" x14ac:dyDescent="0.3">
      <c r="C43" s="1">
        <f ca="1"/>
        <v>0</v>
      </c>
      <c r="D43" s="1"/>
      <c r="E43" s="1"/>
      <c r="F43" s="1"/>
      <c r="I43" s="20" t="s">
        <v>43</v>
      </c>
      <c r="J43" s="1" t="s">
        <v>23</v>
      </c>
      <c r="K43" s="2">
        <v>2</v>
      </c>
      <c r="O43" s="762" t="s">
        <v>191</v>
      </c>
      <c r="P43" s="762"/>
    </row>
    <row r="44" spans="3:16" ht="13.8" x14ac:dyDescent="0.3">
      <c r="C44" s="1">
        <f ca="1"/>
        <v>0</v>
      </c>
      <c r="D44" s="1"/>
      <c r="E44" s="1"/>
      <c r="F44" s="1"/>
      <c r="I44" s="20" t="s">
        <v>48</v>
      </c>
      <c r="J44" s="1" t="s">
        <v>23</v>
      </c>
      <c r="K44" s="2">
        <v>3</v>
      </c>
      <c r="O44" s="762" t="s">
        <v>192</v>
      </c>
      <c r="P44" s="762"/>
    </row>
    <row r="45" spans="3:16" ht="13.8" x14ac:dyDescent="0.3">
      <c r="C45" s="1" t="str">
        <f ca="1"/>
        <v>Telephone: 0798 445 5388</v>
      </c>
      <c r="D45" s="1"/>
      <c r="E45" s="1"/>
      <c r="F45" s="1"/>
      <c r="I45" s="20" t="s">
        <v>18</v>
      </c>
      <c r="J45" s="1"/>
      <c r="K45" s="2">
        <v>4</v>
      </c>
      <c r="O45" s="762"/>
      <c r="P45" s="762"/>
    </row>
    <row r="46" spans="3:16" ht="13.8" x14ac:dyDescent="0.3">
      <c r="C46" s="1" t="str">
        <f ca="1"/>
        <v>Email: cj.gtsuk@btinternet.com</v>
      </c>
      <c r="D46" s="1"/>
      <c r="E46" s="1"/>
      <c r="F46" s="1"/>
      <c r="I46" s="20" t="s">
        <v>140</v>
      </c>
      <c r="K46" s="2">
        <v>5</v>
      </c>
      <c r="O46" s="762" t="s">
        <v>193</v>
      </c>
      <c r="P46" s="762"/>
    </row>
    <row r="47" spans="3:16" ht="13.8" x14ac:dyDescent="0.3">
      <c r="C47" s="1" t="str">
        <f ca="1"/>
        <v>Website: www.globaltourismsolutions.co.uk</v>
      </c>
      <c r="D47" s="1"/>
      <c r="E47" s="1"/>
      <c r="F47" s="1"/>
      <c r="I47" s="20" t="s">
        <v>71</v>
      </c>
      <c r="J47" s="1" t="s">
        <v>23</v>
      </c>
      <c r="K47" s="2">
        <v>6</v>
      </c>
      <c r="O47" s="762" t="s">
        <v>181</v>
      </c>
      <c r="P47" s="762"/>
    </row>
    <row r="48" spans="3:16" ht="13.8" x14ac:dyDescent="0.3">
      <c r="C48" s="1"/>
      <c r="D48" s="1"/>
      <c r="E48" s="1"/>
      <c r="F48" s="1"/>
      <c r="I48" s="80" t="s">
        <v>76</v>
      </c>
      <c r="J48" s="691">
        <v>1</v>
      </c>
      <c r="O48" s="762" t="s">
        <v>174</v>
      </c>
      <c r="P48" s="762"/>
    </row>
    <row r="49" spans="9:16" ht="13.8" x14ac:dyDescent="0.3">
      <c r="I49" s="1" t="str">
        <f>INDEX(TYPE.choices,TYPE.no)</f>
        <v>Total</v>
      </c>
      <c r="J49" s="1" t="str">
        <f>VLOOKUP(TYPE.userselected,$I$42:$J$47,2,FALSE)</f>
        <v>Accommodation</v>
      </c>
      <c r="O49" s="8"/>
    </row>
    <row r="50" spans="9:16" ht="12.9" customHeight="1" x14ac:dyDescent="0.3">
      <c r="O50" s="763" t="s">
        <v>0</v>
      </c>
      <c r="P50" s="764"/>
    </row>
    <row r="51" spans="9:16" ht="12.9" customHeight="1" x14ac:dyDescent="0.3">
      <c r="O51" s="763" t="s">
        <v>198</v>
      </c>
      <c r="P51" s="764"/>
    </row>
    <row r="52" spans="9:16" ht="12.9" customHeight="1" x14ac:dyDescent="0.3">
      <c r="O52" s="763" t="s">
        <v>199</v>
      </c>
      <c r="P52" s="764"/>
    </row>
    <row r="53" spans="9:16" ht="12.9" customHeight="1" x14ac:dyDescent="0.3">
      <c r="O53" s="763" t="s">
        <v>200</v>
      </c>
      <c r="P53" s="764"/>
    </row>
    <row r="54" spans="9:16" ht="12.9" customHeight="1" x14ac:dyDescent="0.3">
      <c r="O54" s="763" t="s">
        <v>186</v>
      </c>
      <c r="P54" s="764"/>
    </row>
    <row r="55" spans="9:16" ht="12.9" customHeight="1" x14ac:dyDescent="0.3">
      <c r="O55" s="763"/>
      <c r="P55" s="764"/>
    </row>
    <row r="56" spans="9:16" ht="12.9" customHeight="1" x14ac:dyDescent="0.3">
      <c r="O56" s="763"/>
      <c r="P56" s="764"/>
    </row>
    <row r="57" spans="9:16" ht="12.9" customHeight="1" x14ac:dyDescent="0.3">
      <c r="O57" s="763" t="s">
        <v>187</v>
      </c>
      <c r="P57" s="764"/>
    </row>
    <row r="58" spans="9:16" ht="12.9" customHeight="1" x14ac:dyDescent="0.3">
      <c r="O58" s="763" t="s">
        <v>185</v>
      </c>
      <c r="P58" s="764"/>
    </row>
    <row r="59" spans="9:16" ht="12.9" customHeight="1" x14ac:dyDescent="0.3">
      <c r="O59" s="763" t="s">
        <v>174</v>
      </c>
      <c r="P59" s="764"/>
    </row>
    <row r="60" spans="9:16" ht="12.9" customHeight="1" x14ac:dyDescent="0.3">
      <c r="O60" s="8"/>
    </row>
    <row r="61" spans="9:16" ht="12.9" customHeight="1" x14ac:dyDescent="0.3">
      <c r="O61" s="765" t="s">
        <v>0</v>
      </c>
      <c r="P61" s="766"/>
    </row>
    <row r="62" spans="9:16" ht="12.9" customHeight="1" x14ac:dyDescent="0.3">
      <c r="O62" s="765" t="s">
        <v>201</v>
      </c>
      <c r="P62" s="766"/>
    </row>
    <row r="63" spans="9:16" ht="12.9" customHeight="1" x14ac:dyDescent="0.3">
      <c r="O63" s="765" t="s">
        <v>202</v>
      </c>
      <c r="P63" s="766"/>
    </row>
    <row r="64" spans="9:16" ht="12.9" customHeight="1" x14ac:dyDescent="0.3">
      <c r="O64" s="765" t="s">
        <v>182</v>
      </c>
      <c r="P64" s="766"/>
    </row>
    <row r="65" spans="15:16" ht="12.9" customHeight="1" x14ac:dyDescent="0.3">
      <c r="O65" s="765" t="s">
        <v>203</v>
      </c>
      <c r="P65" s="766"/>
    </row>
    <row r="66" spans="15:16" ht="12.9" customHeight="1" x14ac:dyDescent="0.3">
      <c r="O66" s="765"/>
      <c r="P66" s="766"/>
    </row>
    <row r="67" spans="15:16" ht="12.9" customHeight="1" x14ac:dyDescent="0.3">
      <c r="O67" s="765"/>
      <c r="P67" s="766"/>
    </row>
    <row r="68" spans="15:16" ht="12.9" customHeight="1" x14ac:dyDescent="0.3">
      <c r="O68" s="765" t="s">
        <v>183</v>
      </c>
      <c r="P68" s="766"/>
    </row>
    <row r="69" spans="15:16" ht="12.9" customHeight="1" x14ac:dyDescent="0.3">
      <c r="O69" s="765" t="s">
        <v>184</v>
      </c>
      <c r="P69" s="766"/>
    </row>
    <row r="70" spans="15:16" ht="12.9" customHeight="1" x14ac:dyDescent="0.3">
      <c r="O70" s="765" t="s">
        <v>174</v>
      </c>
      <c r="P70" s="766"/>
    </row>
  </sheetData>
  <sheetProtection algorithmName="SHA-512" hashValue="ug2LVrW6A9fpm/y9ujzSmyfpBUanhTaZBeO6uT59fzM9I6lIxX7M/81l7x/K2uFfLNQCWa+doDtRb6/jLySHjg==" saltValue="OCj7ttb8V9vuTA4v2ta4yQ==" spinCount="100000" sheet="1" objects="1" scenarios="1"/>
  <mergeCells count="5">
    <mergeCell ref="C2:G2"/>
    <mergeCell ref="C32:E33"/>
    <mergeCell ref="K18:M18"/>
    <mergeCell ref="I2:P2"/>
    <mergeCell ref="C31:D31"/>
  </mergeCells>
  <conditionalFormatting sqref="E19:E30">
    <cfRule type="expression" dxfId="195" priority="1" stopIfTrue="1">
      <formula>AND(ISNUMBER(D19),D19=2009,E19=0.15)</formula>
    </cfRule>
    <cfRule type="expression" dxfId="194" priority="2" stopIfTrue="1">
      <formula>AND(ISNUMBER(D19),D19&gt;2010,E19=0.2)</formula>
    </cfRule>
    <cfRule type="expression" dxfId="193" priority="3" stopIfTrue="1">
      <formula>AND(ISNUMBER(D19),NOT(D19=2009),NOT(D19&gt;2010),E19=0.175)</formula>
    </cfRule>
    <cfRule type="expression" dxfId="192" priority="4" stopIfTrue="1">
      <formula>NOT(ISNUMBER(D19))</formula>
    </cfRule>
  </conditionalFormatting>
  <conditionalFormatting sqref="J24:J32">
    <cfRule type="containsErrors" dxfId="191" priority="13">
      <formula>ISERROR(J24)</formula>
    </cfRule>
    <cfRule type="containsBlanks" dxfId="190" priority="14">
      <formula>LEN(TRIM(J24))=0</formula>
    </cfRule>
  </conditionalFormatting>
  <dataValidations count="1">
    <dataValidation type="list" allowBlank="1" showInputMessage="1" showErrorMessage="1" sqref="D10" xr:uid="{00000000-0002-0000-0100-00000000000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D7DD-71D7-4D46-B26F-8C35B400031A}">
  <dimension ref="A1:A12"/>
  <sheetViews>
    <sheetView workbookViewId="0"/>
  </sheetViews>
  <sheetFormatPr defaultRowHeight="13.8" x14ac:dyDescent="0.3"/>
  <sheetData>
    <row r="1" spans="1:1" x14ac:dyDescent="0.3">
      <c r="A1" t="s">
        <v>207</v>
      </c>
    </row>
    <row r="2" spans="1:1" x14ac:dyDescent="0.3">
      <c r="A2" t="s">
        <v>208</v>
      </c>
    </row>
    <row r="3" spans="1:1" x14ac:dyDescent="0.3">
      <c r="A3" t="s">
        <v>209</v>
      </c>
    </row>
    <row r="4" spans="1:1" x14ac:dyDescent="0.3">
      <c r="A4" t="s">
        <v>210</v>
      </c>
    </row>
    <row r="5" spans="1:1" x14ac:dyDescent="0.3">
      <c r="A5" t="s">
        <v>211</v>
      </c>
    </row>
    <row r="6" spans="1:1" x14ac:dyDescent="0.3">
      <c r="A6" t="s">
        <v>212</v>
      </c>
    </row>
    <row r="7" spans="1:1" x14ac:dyDescent="0.3">
      <c r="A7" t="s">
        <v>213</v>
      </c>
    </row>
    <row r="8" spans="1:1" x14ac:dyDescent="0.3">
      <c r="A8" t="s">
        <v>214</v>
      </c>
    </row>
    <row r="9" spans="1:1" x14ac:dyDescent="0.3">
      <c r="A9" t="s">
        <v>215</v>
      </c>
    </row>
    <row r="10" spans="1:1" x14ac:dyDescent="0.3">
      <c r="A10" t="s">
        <v>216</v>
      </c>
    </row>
    <row r="11" spans="1:1" x14ac:dyDescent="0.3">
      <c r="A11" t="s">
        <v>217</v>
      </c>
    </row>
    <row r="12" spans="1:1" x14ac:dyDescent="0.3">
      <c r="A12" t="s">
        <v>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PB</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794" t="s">
        <v>167</v>
      </c>
      <c r="T6" s="795"/>
      <c r="U6" s="795"/>
      <c r="V6" s="795"/>
      <c r="W6" s="795"/>
      <c r="X6" s="796"/>
    </row>
    <row r="7" spans="1:26" ht="16.2" customHeight="1" thickBot="1" x14ac:dyDescent="0.35">
      <c r="E7" s="562" t="str">
        <f>REP.title2</f>
        <v>CONWY COUNTY BOROUGH COUNCIL</v>
      </c>
      <c r="F7" s="563"/>
      <c r="G7" s="563"/>
      <c r="H7" s="563"/>
      <c r="I7" s="564"/>
      <c r="J7" s="564"/>
      <c r="K7" s="564"/>
      <c r="L7" s="564"/>
      <c r="M7" s="564"/>
      <c r="N7" s="564"/>
      <c r="O7" s="565"/>
      <c r="P7" s="565"/>
      <c r="Q7" s="565"/>
      <c r="R7" s="565"/>
      <c r="S7" s="797"/>
      <c r="T7" s="798"/>
      <c r="U7" s="798"/>
      <c r="V7" s="798"/>
      <c r="W7" s="798"/>
      <c r="X7" s="799"/>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
        <v>243</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x14ac:dyDescent="0.3">
      <c r="E11" s="572" t="s">
        <v>166</v>
      </c>
      <c r="F11" s="578" t="str">
        <f t="array" ref="F11:F24">IFERROR(INDEX(TYPE.choices,{1;2;3;4;5;6;7;8;9;10;11;12;13;14}),"")</f>
        <v>Total</v>
      </c>
      <c r="G11" s="573"/>
      <c r="H11" s="573"/>
      <c r="I11" s="573"/>
      <c r="J11" s="573"/>
      <c r="K11" s="573"/>
      <c r="L11" s="573"/>
      <c r="M11" s="573"/>
      <c r="N11" s="573"/>
      <c r="O11" s="573"/>
      <c r="P11" s="573"/>
      <c r="Q11" s="573"/>
      <c r="R11" s="573"/>
      <c r="S11" s="573"/>
      <c r="T11" s="573"/>
      <c r="U11" s="573"/>
      <c r="V11" s="573"/>
      <c r="W11" s="573"/>
      <c r="X11" s="574"/>
    </row>
    <row r="12" spans="1:26" ht="16.2" customHeight="1" x14ac:dyDescent="0.3">
      <c r="E12" s="575"/>
      <c r="F12" s="578" t="str">
        <v>Serviced Accommodation</v>
      </c>
      <c r="G12" s="576"/>
      <c r="H12" s="576"/>
      <c r="I12" s="576"/>
      <c r="J12" s="576"/>
      <c r="K12" s="576"/>
      <c r="L12" s="576"/>
      <c r="M12" s="576"/>
      <c r="N12" s="576"/>
      <c r="O12" s="576"/>
      <c r="P12" s="576"/>
      <c r="Q12" s="576"/>
      <c r="R12" s="576"/>
      <c r="S12" s="576"/>
      <c r="T12" s="576"/>
      <c r="U12" s="576"/>
      <c r="V12" s="576"/>
      <c r="W12" s="576"/>
      <c r="X12" s="577"/>
    </row>
    <row r="13" spans="1:26" ht="16.2" customHeight="1" x14ac:dyDescent="0.3">
      <c r="E13" s="568"/>
      <c r="F13" s="578" t="str">
        <v>Non-Serviced Accommodation</v>
      </c>
      <c r="G13" s="569"/>
      <c r="H13" s="569"/>
      <c r="I13" s="569"/>
      <c r="J13" s="569"/>
      <c r="K13" s="569"/>
      <c r="L13" s="569"/>
      <c r="M13" s="569"/>
      <c r="N13" s="569"/>
      <c r="O13" s="569"/>
      <c r="P13" s="569"/>
      <c r="Q13" s="569"/>
      <c r="R13" s="569"/>
      <c r="S13" s="569"/>
      <c r="T13" s="569"/>
      <c r="U13" s="569"/>
      <c r="V13" s="569"/>
      <c r="W13" s="569"/>
      <c r="X13" s="570"/>
    </row>
    <row r="14" spans="1:26" ht="16.2" customHeight="1" x14ac:dyDescent="0.3">
      <c r="E14" s="568"/>
      <c r="F14" s="578" t="str">
        <v>SFR</v>
      </c>
      <c r="G14" s="569"/>
      <c r="H14" s="569"/>
      <c r="I14" s="569"/>
      <c r="J14" s="569"/>
      <c r="K14" s="569"/>
      <c r="L14" s="569"/>
      <c r="M14" s="569"/>
      <c r="N14" s="569"/>
      <c r="O14" s="569"/>
      <c r="P14" s="569"/>
      <c r="Q14" s="569"/>
      <c r="R14" s="569"/>
      <c r="S14" s="569"/>
      <c r="T14" s="569"/>
      <c r="U14" s="569"/>
      <c r="V14" s="569"/>
      <c r="W14" s="569"/>
      <c r="X14" s="570"/>
    </row>
    <row r="15" spans="1:26" ht="16.2" customHeight="1" x14ac:dyDescent="0.3">
      <c r="E15" s="568"/>
      <c r="F15" s="578" t="str">
        <v>Staying Visitor</v>
      </c>
      <c r="G15" s="569"/>
      <c r="H15" s="569"/>
      <c r="I15" s="569"/>
      <c r="J15" s="569"/>
      <c r="K15" s="569"/>
      <c r="L15" s="569"/>
      <c r="M15" s="569"/>
      <c r="N15" s="569"/>
      <c r="O15" s="569"/>
      <c r="P15" s="569"/>
      <c r="Q15" s="569"/>
      <c r="R15" s="569"/>
      <c r="S15" s="569"/>
      <c r="T15" s="569"/>
      <c r="U15" s="569"/>
      <c r="V15" s="569"/>
      <c r="W15" s="569"/>
      <c r="X15" s="570"/>
    </row>
    <row r="16" spans="1:26" ht="16.2" customHeight="1" x14ac:dyDescent="0.3">
      <c r="E16" s="568"/>
      <c r="F16" s="578" t="str">
        <v>Day Visitor</v>
      </c>
      <c r="G16" s="569"/>
      <c r="H16" s="569"/>
      <c r="I16" s="569"/>
      <c r="J16" s="569"/>
      <c r="K16" s="569"/>
      <c r="L16" s="569"/>
      <c r="M16" s="569"/>
      <c r="N16" s="569"/>
      <c r="O16" s="569"/>
      <c r="P16" s="569"/>
      <c r="Q16" s="569"/>
      <c r="R16" s="569"/>
      <c r="S16" s="569"/>
      <c r="T16" s="569"/>
      <c r="U16" s="569"/>
      <c r="V16" s="569"/>
      <c r="W16" s="569"/>
      <c r="X16" s="570"/>
      <c r="Y16" s="270"/>
      <c r="Z16" s="111" t="b">
        <f>K16&gt;1000000</f>
        <v>0</v>
      </c>
    </row>
    <row r="17" spans="4:24" ht="16.2" customHeight="1" x14ac:dyDescent="0.3">
      <c r="E17" s="568"/>
      <c r="F17" s="579" t="str">
        <v/>
      </c>
      <c r="G17" s="569"/>
      <c r="H17" s="569"/>
      <c r="I17" s="569"/>
      <c r="J17" s="569"/>
      <c r="K17" s="569"/>
      <c r="L17" s="569"/>
      <c r="M17" s="569"/>
      <c r="N17" s="569"/>
      <c r="O17" s="569"/>
      <c r="P17" s="569"/>
      <c r="Q17" s="569"/>
      <c r="R17" s="569"/>
      <c r="S17" s="569"/>
      <c r="T17" s="569"/>
      <c r="U17" s="569"/>
      <c r="V17" s="569"/>
      <c r="W17" s="569"/>
      <c r="X17" s="570"/>
    </row>
    <row r="18" spans="4:24" ht="16.2" customHeight="1" x14ac:dyDescent="0.3">
      <c r="E18" s="568"/>
      <c r="F18" s="579" t="str">
        <v/>
      </c>
      <c r="G18" s="569"/>
      <c r="H18" s="569"/>
      <c r="I18" s="569"/>
      <c r="J18" s="569"/>
      <c r="K18" s="569"/>
      <c r="L18" s="569"/>
      <c r="M18" s="569"/>
      <c r="N18" s="569"/>
      <c r="O18" s="569"/>
      <c r="P18" s="569"/>
      <c r="Q18" s="569"/>
      <c r="R18" s="569"/>
      <c r="S18" s="569"/>
      <c r="T18" s="569"/>
      <c r="U18" s="569"/>
      <c r="V18" s="569"/>
      <c r="W18" s="569"/>
      <c r="X18" s="570"/>
    </row>
    <row r="19" spans="4:24" ht="16.2" customHeight="1" x14ac:dyDescent="0.3">
      <c r="E19" s="568"/>
      <c r="F19" s="579" t="str">
        <v/>
      </c>
      <c r="G19" s="569"/>
      <c r="H19" s="569"/>
      <c r="I19" s="569"/>
      <c r="J19" s="569"/>
      <c r="K19" s="569"/>
      <c r="L19" s="569"/>
      <c r="M19" s="569"/>
      <c r="N19" s="569"/>
      <c r="O19" s="569"/>
      <c r="P19" s="569"/>
      <c r="Q19" s="569"/>
      <c r="R19" s="569"/>
      <c r="S19" s="569"/>
      <c r="T19" s="569"/>
      <c r="U19" s="569"/>
      <c r="V19" s="569"/>
      <c r="W19" s="569"/>
      <c r="X19" s="570"/>
    </row>
    <row r="20" spans="4:24" ht="16.2" customHeight="1" x14ac:dyDescent="0.3">
      <c r="E20" s="568"/>
      <c r="F20" s="579" t="str">
        <v/>
      </c>
      <c r="G20" s="569"/>
      <c r="H20" s="569"/>
      <c r="I20" s="569"/>
      <c r="J20" s="569"/>
      <c r="K20" s="569"/>
      <c r="L20" s="569"/>
      <c r="M20" s="569"/>
      <c r="N20" s="569"/>
      <c r="O20" s="569"/>
      <c r="P20" s="569"/>
      <c r="Q20" s="569"/>
      <c r="R20" s="569"/>
      <c r="S20" s="569"/>
      <c r="T20" s="569"/>
      <c r="U20" s="569"/>
      <c r="V20" s="569"/>
      <c r="W20" s="569"/>
      <c r="X20" s="570"/>
    </row>
    <row r="21" spans="4:24" ht="16.2" customHeight="1" x14ac:dyDescent="0.3">
      <c r="E21" s="568"/>
      <c r="F21" s="579" t="str">
        <v/>
      </c>
      <c r="G21" s="569"/>
      <c r="H21" s="569"/>
      <c r="I21" s="569"/>
      <c r="J21" s="569"/>
      <c r="K21" s="569"/>
      <c r="L21" s="569"/>
      <c r="M21" s="569"/>
      <c r="N21" s="569"/>
      <c r="O21" s="569"/>
      <c r="P21" s="569"/>
      <c r="Q21" s="569"/>
      <c r="R21" s="569"/>
      <c r="S21" s="569"/>
      <c r="T21" s="569"/>
      <c r="U21" s="569"/>
      <c r="V21" s="569"/>
      <c r="W21" s="569"/>
      <c r="X21" s="570"/>
    </row>
    <row r="22" spans="4:24" ht="16.2" customHeight="1" x14ac:dyDescent="0.3">
      <c r="E22" s="568"/>
      <c r="F22" s="579" t="str">
        <v/>
      </c>
      <c r="G22" s="569"/>
      <c r="H22" s="569"/>
      <c r="I22" s="569"/>
      <c r="J22" s="569"/>
      <c r="K22" s="569"/>
      <c r="L22" s="569"/>
      <c r="M22" s="569"/>
      <c r="N22" s="569"/>
      <c r="O22" s="569"/>
      <c r="P22" s="569"/>
      <c r="Q22" s="569"/>
      <c r="R22" s="569"/>
      <c r="S22" s="569"/>
      <c r="T22" s="569"/>
      <c r="U22" s="569"/>
      <c r="V22" s="569"/>
      <c r="W22" s="569"/>
      <c r="X22" s="570"/>
    </row>
    <row r="23" spans="4:24" ht="16.2" customHeight="1" x14ac:dyDescent="0.3">
      <c r="E23" s="568"/>
      <c r="F23" s="579" t="str">
        <v/>
      </c>
      <c r="G23" s="569"/>
      <c r="H23" s="569"/>
      <c r="I23" s="569"/>
      <c r="J23" s="569"/>
      <c r="K23" s="569"/>
      <c r="L23" s="569"/>
      <c r="M23" s="569"/>
      <c r="N23" s="569"/>
      <c r="O23" s="569"/>
      <c r="P23" s="569"/>
      <c r="Q23" s="569"/>
      <c r="R23" s="569"/>
      <c r="S23" s="569"/>
      <c r="T23" s="569"/>
      <c r="U23" s="569"/>
      <c r="V23" s="569"/>
      <c r="W23" s="569"/>
      <c r="X23" s="570"/>
    </row>
    <row r="24" spans="4:24" ht="16.2" customHeight="1" x14ac:dyDescent="0.3">
      <c r="E24" s="568"/>
      <c r="F24" s="579" t="str">
        <v/>
      </c>
      <c r="G24" s="569"/>
      <c r="H24" s="569"/>
      <c r="I24" s="569"/>
      <c r="J24" s="569"/>
      <c r="K24" s="569"/>
      <c r="L24" s="569"/>
      <c r="M24" s="569"/>
      <c r="N24" s="569"/>
      <c r="O24" s="569"/>
      <c r="P24" s="569"/>
      <c r="Q24" s="569"/>
      <c r="R24" s="569"/>
      <c r="S24" s="569"/>
      <c r="T24" s="569"/>
      <c r="U24" s="569"/>
      <c r="V24" s="569"/>
      <c r="W24" s="569"/>
      <c r="X24" s="570"/>
    </row>
    <row r="25" spans="4:24" ht="16.2" customHeight="1" x14ac:dyDescent="0.3">
      <c r="E25" s="568"/>
      <c r="F25" s="569"/>
      <c r="G25" s="569"/>
      <c r="H25" s="569"/>
      <c r="I25" s="569"/>
      <c r="J25" s="569"/>
      <c r="K25" s="569"/>
      <c r="L25" s="569"/>
      <c r="M25" s="569"/>
      <c r="N25" s="569"/>
      <c r="O25" s="569"/>
      <c r="P25" s="569"/>
      <c r="Q25" s="569"/>
      <c r="R25" s="569"/>
      <c r="S25" s="569"/>
      <c r="T25" s="569"/>
      <c r="U25" s="569"/>
      <c r="V25" s="569"/>
      <c r="W25" s="569"/>
      <c r="X25" s="570"/>
    </row>
    <row r="26" spans="4:24" ht="16.2" customHeight="1" x14ac:dyDescent="0.3">
      <c r="E26" s="568"/>
      <c r="F26" s="569"/>
      <c r="G26" s="569"/>
      <c r="H26" s="569"/>
      <c r="I26" s="569"/>
      <c r="J26" s="569"/>
      <c r="K26" s="569"/>
      <c r="L26" s="569"/>
      <c r="M26" s="569"/>
      <c r="N26" s="569"/>
      <c r="O26" s="569"/>
      <c r="P26" s="569"/>
      <c r="Q26" s="569"/>
      <c r="R26" s="569"/>
      <c r="S26" s="569"/>
      <c r="T26" s="569"/>
      <c r="U26" s="569"/>
      <c r="V26" s="569"/>
      <c r="W26" s="569"/>
      <c r="X26" s="570"/>
    </row>
    <row r="27" spans="4:24" ht="16.2" customHeight="1" x14ac:dyDescent="0.3">
      <c r="D27" s="196" t="str">
        <f ca="1">"'"&amp;$A$1&amp;"'!"&amp;CELL("address",G27)&amp;":"&amp;CELL("address",OFFSET(G27,0,COUNT(REP.yearsrange)-1))</f>
        <v>'PB'!$G$27:$R$27</v>
      </c>
      <c r="E27" s="568"/>
      <c r="F27" s="569"/>
      <c r="G27" s="569"/>
      <c r="H27" s="569"/>
      <c r="I27" s="569"/>
      <c r="J27" s="569"/>
      <c r="K27" s="569"/>
      <c r="L27" s="569"/>
      <c r="M27" s="569"/>
      <c r="N27" s="569"/>
      <c r="O27" s="569"/>
      <c r="P27" s="569"/>
      <c r="Q27" s="569"/>
      <c r="R27" s="569"/>
      <c r="S27" s="569"/>
      <c r="T27" s="569"/>
      <c r="U27" s="569"/>
      <c r="V27" s="569"/>
      <c r="W27" s="569"/>
      <c r="X27" s="570"/>
    </row>
    <row r="28" spans="4:24" ht="16.2" customHeight="1" x14ac:dyDescent="0.3">
      <c r="D28" s="196" t="str">
        <f ca="1">"'"&amp;$A$1&amp;"'!"&amp;CELL("address",G28)&amp;":"&amp;CELL("address",OFFSET(G28,0,COUNT(REP.yearsrange)-1))</f>
        <v>'PB'!$G$28:$R$28</v>
      </c>
      <c r="E28" s="568"/>
      <c r="F28" s="569"/>
      <c r="G28" s="569"/>
      <c r="H28" s="569"/>
      <c r="I28" s="569"/>
      <c r="J28" s="569"/>
      <c r="K28" s="569"/>
      <c r="L28" s="569"/>
      <c r="M28" s="569"/>
      <c r="N28" s="569"/>
      <c r="O28" s="569"/>
      <c r="P28" s="569"/>
      <c r="Q28" s="569"/>
      <c r="R28" s="569"/>
      <c r="S28" s="569"/>
      <c r="T28" s="569"/>
      <c r="U28" s="569"/>
      <c r="V28" s="569"/>
      <c r="W28" s="569"/>
      <c r="X28" s="570"/>
    </row>
    <row r="29" spans="4:24" ht="16.2" customHeight="1" x14ac:dyDescent="0.3">
      <c r="D29" s="196" t="str">
        <f ca="1">"'"&amp;$A$1&amp;"'!"&amp;CELL("address",G29)&amp;":"&amp;CELL("address",OFFSET(G29,0,COUNT(REP.yearsrange)-1))</f>
        <v>'PB'!$G$29:$R$29</v>
      </c>
      <c r="E29" s="568"/>
      <c r="F29" s="569"/>
      <c r="G29" s="569"/>
      <c r="H29" s="569"/>
      <c r="I29" s="569"/>
      <c r="J29" s="569"/>
      <c r="K29" s="569"/>
      <c r="L29" s="569"/>
      <c r="M29" s="569"/>
      <c r="N29" s="569"/>
      <c r="O29" s="569"/>
      <c r="P29" s="569"/>
      <c r="Q29" s="569"/>
      <c r="R29" s="569"/>
      <c r="S29" s="569"/>
      <c r="T29" s="569"/>
      <c r="U29" s="569"/>
      <c r="V29" s="569"/>
      <c r="W29" s="569"/>
      <c r="X29" s="570"/>
    </row>
    <row r="30" spans="4:24" ht="16.2" customHeight="1" x14ac:dyDescent="0.3">
      <c r="D30" s="196" t="str">
        <f ca="1">"'"&amp;$A$1&amp;"'!"&amp;CELL("address",G30)&amp;":"&amp;CELL("address",OFFSET(G30,0,COUNT(REP.yearsrange)-1))</f>
        <v>'PB'!$G$30:$R$30</v>
      </c>
      <c r="E30" s="568"/>
      <c r="F30" s="569"/>
      <c r="G30" s="569"/>
      <c r="H30" s="569"/>
      <c r="I30" s="569"/>
      <c r="J30" s="569"/>
      <c r="K30" s="569"/>
      <c r="L30" s="569"/>
      <c r="M30" s="569"/>
      <c r="N30" s="569"/>
      <c r="O30" s="569"/>
      <c r="P30" s="569"/>
      <c r="Q30" s="569"/>
      <c r="R30" s="569"/>
      <c r="S30" s="569"/>
      <c r="T30" s="569"/>
      <c r="U30" s="569"/>
      <c r="V30" s="569"/>
      <c r="W30" s="569"/>
      <c r="X30" s="570"/>
    </row>
    <row r="31" spans="4:24" ht="16.2" customHeight="1" x14ac:dyDescent="0.3">
      <c r="D31" s="196" t="str">
        <f ca="1">"'"&amp;$A$1&amp;"'!"&amp;CELL("address",G31)&amp;":"&amp;CELL("address",OFFSET(G31,0,COUNT(REP.yearsrange)-1))</f>
        <v>'PB'!$G$31:$R$31</v>
      </c>
      <c r="E31" s="568"/>
      <c r="F31" s="569"/>
      <c r="G31" s="569"/>
      <c r="H31" s="569"/>
      <c r="I31" s="569"/>
      <c r="J31" s="569"/>
      <c r="K31" s="569"/>
      <c r="L31" s="569"/>
      <c r="M31" s="569"/>
      <c r="N31" s="569"/>
      <c r="O31" s="569"/>
      <c r="P31" s="569"/>
      <c r="Q31" s="569"/>
      <c r="R31" s="569"/>
      <c r="S31" s="569"/>
      <c r="T31" s="569"/>
      <c r="U31" s="569"/>
      <c r="V31" s="569"/>
      <c r="W31" s="569"/>
      <c r="X31" s="570"/>
    </row>
    <row r="32" spans="4:24" ht="16.2" customHeight="1" x14ac:dyDescent="0.3">
      <c r="D32" s="196" t="str">
        <f ca="1">"'"&amp;$A$1&amp;"'!"&amp;CELL("address",G32)&amp;":"&amp;CELL("address",OFFSET(G32,0,COUNT(REP.yearsrange)-1))</f>
        <v>'PB'!$G$32:$R$32</v>
      </c>
      <c r="E32" s="568"/>
      <c r="F32" s="569"/>
      <c r="G32" s="569"/>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NUiBE9JDQnRpkpU5JGgpykobtl1LX8mhS8ZkZFuRihR3evSEgQFzuqPo6QNZV/SVVDGAQsUOj2Ugu2G4GF1L6Q==" saltValue="ymvEf7TUV6RsBXJOSaM7BQ=="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ANNEX</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806" t="str">
        <f>"Financial Data Indexed to "&amp;MAX(REP.yearsrange)&amp;" Prices"</f>
        <v>Financial Data Indexed to 2022 Prices</v>
      </c>
      <c r="T6" s="807"/>
      <c r="U6" s="807"/>
      <c r="V6" s="807"/>
      <c r="W6" s="807"/>
      <c r="X6" s="808"/>
    </row>
    <row r="7" spans="1:26" ht="16.2" customHeight="1" thickBot="1" x14ac:dyDescent="0.35">
      <c r="E7" s="562" t="str">
        <f>REP.title2</f>
        <v>CONWY COUNTY BOROUGH COUNCIL</v>
      </c>
      <c r="F7" s="563"/>
      <c r="G7" s="563"/>
      <c r="H7" s="563"/>
      <c r="I7" s="564"/>
      <c r="J7" s="564"/>
      <c r="K7" s="564"/>
      <c r="L7" s="564"/>
      <c r="M7" s="564"/>
      <c r="N7" s="564"/>
      <c r="O7" s="565"/>
      <c r="P7" s="565"/>
      <c r="Q7" s="565"/>
      <c r="R7" s="565"/>
      <c r="S7" s="809"/>
      <c r="T7" s="810"/>
      <c r="U7" s="810"/>
      <c r="V7" s="810"/>
      <c r="W7" s="810"/>
      <c r="X7" s="811"/>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tr">
        <f>"Report Sections With Historic "&amp;S6</f>
        <v>Report Sections With Historic Financial Data Indexed to 2022 Prices</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thickBot="1" x14ac:dyDescent="0.35">
      <c r="E11" s="572" t="s">
        <v>168</v>
      </c>
      <c r="F11" s="581" t="s">
        <v>105</v>
      </c>
      <c r="G11" s="573"/>
      <c r="H11" s="573"/>
      <c r="I11" s="573"/>
      <c r="J11" s="573"/>
      <c r="K11" s="573"/>
      <c r="L11" s="580" t="s">
        <v>166</v>
      </c>
      <c r="M11" s="569"/>
      <c r="N11" s="569"/>
      <c r="O11" s="578" t="str">
        <f t="array" ref="O11:O24">IFERROR(INDEX(TYPE.choices,{1;2;3;4;5;6;7;8;9;10;11;12;13;14}),"")</f>
        <v>Total</v>
      </c>
      <c r="P11" s="573"/>
      <c r="Q11" s="573"/>
      <c r="R11" s="573"/>
      <c r="S11" s="573"/>
      <c r="T11" s="573"/>
      <c r="U11" s="573"/>
      <c r="V11" s="573"/>
      <c r="W11" s="573"/>
      <c r="X11" s="574"/>
    </row>
    <row r="12" spans="1:26" ht="16.2" customHeight="1" thickTop="1" thickBot="1" x14ac:dyDescent="0.35">
      <c r="E12" s="575"/>
      <c r="F12" s="581" t="s">
        <v>135</v>
      </c>
      <c r="G12" s="576"/>
      <c r="H12" s="576"/>
      <c r="I12" s="576"/>
      <c r="J12" s="576"/>
      <c r="K12" s="576"/>
      <c r="L12" s="575"/>
      <c r="M12" s="569"/>
      <c r="N12" s="569"/>
      <c r="O12" s="578" t="str">
        <v>Serviced Accommodation</v>
      </c>
      <c r="P12" s="576"/>
      <c r="Q12" s="576"/>
      <c r="R12" s="576"/>
      <c r="S12" s="576"/>
      <c r="T12" s="576"/>
      <c r="U12" s="576"/>
      <c r="V12" s="576"/>
      <c r="W12" s="576"/>
      <c r="X12" s="577"/>
    </row>
    <row r="13" spans="1:26" ht="16.2" customHeight="1" thickTop="1" thickBot="1" x14ac:dyDescent="0.35">
      <c r="E13" s="568"/>
      <c r="F13" s="581" t="s">
        <v>17</v>
      </c>
      <c r="G13" s="569"/>
      <c r="H13" s="569"/>
      <c r="I13" s="569"/>
      <c r="J13" s="569"/>
      <c r="K13" s="569"/>
      <c r="L13" s="568"/>
      <c r="M13" s="569"/>
      <c r="N13" s="569"/>
      <c r="O13" s="578" t="str">
        <v>Non-Serviced Accommodation</v>
      </c>
      <c r="P13" s="569"/>
      <c r="Q13" s="569"/>
      <c r="R13" s="569"/>
      <c r="S13" s="569"/>
      <c r="T13" s="569"/>
      <c r="U13" s="569"/>
      <c r="V13" s="569"/>
      <c r="W13" s="569"/>
      <c r="X13" s="570"/>
    </row>
    <row r="14" spans="1:26" ht="16.2" customHeight="1" thickTop="1" thickBot="1" x14ac:dyDescent="0.35">
      <c r="E14" s="568"/>
      <c r="F14" s="581" t="s">
        <v>106</v>
      </c>
      <c r="G14" s="569"/>
      <c r="H14" s="569"/>
      <c r="I14" s="569"/>
      <c r="J14" s="569"/>
      <c r="K14" s="569"/>
      <c r="L14" s="568"/>
      <c r="M14" s="569"/>
      <c r="N14" s="569"/>
      <c r="O14" s="578" t="str">
        <v>SFR</v>
      </c>
      <c r="P14" s="569"/>
      <c r="Q14" s="569"/>
      <c r="R14" s="569"/>
      <c r="S14" s="569"/>
      <c r="T14" s="569"/>
      <c r="U14" s="569"/>
      <c r="V14" s="569"/>
      <c r="W14" s="569"/>
      <c r="X14" s="570"/>
    </row>
    <row r="15" spans="1:26" ht="16.2" customHeight="1" thickTop="1" thickBot="1" x14ac:dyDescent="0.35">
      <c r="E15" s="568"/>
      <c r="F15" s="581"/>
      <c r="G15" s="569"/>
      <c r="H15" s="569"/>
      <c r="I15" s="569"/>
      <c r="J15" s="569"/>
      <c r="K15" s="569"/>
      <c r="L15" s="568"/>
      <c r="M15" s="569"/>
      <c r="N15" s="569"/>
      <c r="O15" s="578" t="str">
        <v>Staying Visitor</v>
      </c>
      <c r="P15" s="569"/>
      <c r="Q15" s="569"/>
      <c r="R15" s="569"/>
      <c r="S15" s="569"/>
      <c r="T15" s="569"/>
      <c r="U15" s="569"/>
      <c r="V15" s="569"/>
      <c r="W15" s="569"/>
      <c r="X15" s="570"/>
    </row>
    <row r="16" spans="1:26" ht="16.2" customHeight="1" thickTop="1" thickBot="1" x14ac:dyDescent="0.35">
      <c r="E16" s="568"/>
      <c r="F16" s="581"/>
      <c r="G16" s="569"/>
      <c r="H16" s="569"/>
      <c r="I16" s="569"/>
      <c r="J16" s="569"/>
      <c r="K16" s="569"/>
      <c r="L16" s="568"/>
      <c r="M16" s="569"/>
      <c r="N16" s="569"/>
      <c r="O16" s="578" t="str">
        <v>Day Visitor</v>
      </c>
      <c r="P16" s="569"/>
      <c r="Q16" s="569"/>
      <c r="R16" s="569"/>
      <c r="S16" s="569"/>
      <c r="T16" s="569"/>
      <c r="U16" s="569"/>
      <c r="V16" s="569"/>
      <c r="W16" s="569"/>
      <c r="X16" s="570"/>
      <c r="Y16" s="270"/>
      <c r="Z16" s="111" t="b">
        <f>K16&gt;1000000</f>
        <v>0</v>
      </c>
    </row>
    <row r="17" spans="4:24" ht="16.2" customHeight="1" thickTop="1" x14ac:dyDescent="0.3">
      <c r="E17" s="568"/>
      <c r="F17" s="581"/>
      <c r="G17" s="569"/>
      <c r="H17" s="569"/>
      <c r="I17" s="569"/>
      <c r="J17" s="569"/>
      <c r="K17" s="569"/>
      <c r="L17" s="568"/>
      <c r="M17" s="569"/>
      <c r="N17" s="569"/>
      <c r="O17" s="579" t="str">
        <v/>
      </c>
      <c r="P17" s="569"/>
      <c r="Q17" s="569"/>
      <c r="R17" s="569"/>
      <c r="S17" s="569"/>
      <c r="T17" s="569"/>
      <c r="U17" s="569"/>
      <c r="V17" s="569"/>
      <c r="W17" s="569"/>
      <c r="X17" s="570"/>
    </row>
    <row r="18" spans="4:24" ht="16.2" customHeight="1" x14ac:dyDescent="0.3">
      <c r="E18" s="568"/>
      <c r="F18" s="569"/>
      <c r="G18" s="569"/>
      <c r="H18" s="569"/>
      <c r="I18" s="569"/>
      <c r="J18" s="569"/>
      <c r="K18" s="569"/>
      <c r="L18" s="568"/>
      <c r="M18" s="569"/>
      <c r="N18" s="569"/>
      <c r="O18" s="579" t="str">
        <v/>
      </c>
      <c r="P18" s="569"/>
      <c r="Q18" s="569"/>
      <c r="R18" s="569"/>
      <c r="S18" s="569"/>
      <c r="T18" s="569"/>
      <c r="U18" s="569"/>
      <c r="V18" s="569"/>
      <c r="W18" s="569"/>
      <c r="X18" s="570"/>
    </row>
    <row r="19" spans="4:24" ht="16.2" customHeight="1" thickBot="1" x14ac:dyDescent="0.35">
      <c r="E19" s="568"/>
      <c r="F19" s="569"/>
      <c r="G19" s="569"/>
      <c r="H19" s="569"/>
      <c r="I19" s="569"/>
      <c r="J19" s="569"/>
      <c r="K19" s="569"/>
      <c r="L19" s="568"/>
      <c r="M19" s="569"/>
      <c r="N19" s="569"/>
      <c r="O19" s="579" t="str">
        <v/>
      </c>
      <c r="P19" s="569"/>
      <c r="Q19" s="569"/>
      <c r="R19" s="569"/>
      <c r="S19" s="569"/>
      <c r="T19" s="569"/>
      <c r="U19" s="569"/>
      <c r="V19" s="569"/>
      <c r="W19" s="569"/>
      <c r="X19" s="570"/>
    </row>
    <row r="20" spans="4:24" ht="16.2" customHeight="1" thickTop="1" thickBot="1" x14ac:dyDescent="0.35">
      <c r="E20" s="572" t="s">
        <v>169</v>
      </c>
      <c r="F20" s="586" t="str">
        <f>"Indexation to: "&amp;MAX(REP.yearsrange)</f>
        <v>Indexation to: 2022</v>
      </c>
      <c r="G20" s="583"/>
      <c r="H20" s="569"/>
      <c r="I20" s="569"/>
      <c r="J20" s="569"/>
      <c r="K20" s="569"/>
      <c r="L20" s="568"/>
      <c r="M20" s="569"/>
      <c r="N20" s="569"/>
      <c r="O20" s="579" t="str">
        <v/>
      </c>
      <c r="P20" s="569"/>
      <c r="Q20" s="569"/>
      <c r="R20" s="569"/>
      <c r="S20" s="569"/>
      <c r="T20" s="569"/>
      <c r="U20" s="569"/>
      <c r="V20" s="569"/>
      <c r="W20" s="569"/>
      <c r="X20" s="570"/>
    </row>
    <row r="21" spans="4:24" ht="16.2" customHeight="1" thickTop="1" thickBot="1" x14ac:dyDescent="0.35">
      <c r="E21" s="585">
        <f t="array" ref="E21:E32">IF(REP.yearsrange="","",REP.yearsrange)</f>
        <v>2011</v>
      </c>
      <c r="F21" s="582">
        <f t="array" ref="F21:F32">IF(REP.indexationfactors="","",REP.indexationfactors)</f>
        <v>1.3874181822756195</v>
      </c>
      <c r="G21" s="583"/>
      <c r="H21" s="569"/>
      <c r="I21" s="569"/>
      <c r="J21" s="569"/>
      <c r="K21" s="569"/>
      <c r="L21" s="568"/>
      <c r="M21" s="569"/>
      <c r="N21" s="569"/>
      <c r="O21" s="579" t="str">
        <v/>
      </c>
      <c r="P21" s="569"/>
      <c r="Q21" s="569"/>
      <c r="R21" s="569"/>
      <c r="S21" s="569"/>
      <c r="T21" s="569"/>
      <c r="U21" s="569"/>
      <c r="V21" s="569"/>
      <c r="W21" s="569"/>
      <c r="X21" s="570"/>
    </row>
    <row r="22" spans="4:24" ht="16.2" customHeight="1" thickTop="1" thickBot="1" x14ac:dyDescent="0.35">
      <c r="E22" s="585">
        <v>2012</v>
      </c>
      <c r="F22" s="582">
        <v>1.334954471543943</v>
      </c>
      <c r="G22" s="583"/>
      <c r="H22" s="569"/>
      <c r="I22" s="569"/>
      <c r="J22" s="569"/>
      <c r="K22" s="569"/>
      <c r="L22" s="568"/>
      <c r="M22" s="569"/>
      <c r="N22" s="569"/>
      <c r="O22" s="579" t="str">
        <v/>
      </c>
      <c r="P22" s="569"/>
      <c r="Q22" s="569"/>
      <c r="R22" s="569"/>
      <c r="S22" s="569"/>
      <c r="T22" s="569"/>
      <c r="U22" s="569"/>
      <c r="V22" s="569"/>
      <c r="W22" s="569"/>
      <c r="X22" s="570"/>
    </row>
    <row r="23" spans="4:24" ht="16.2" customHeight="1" thickTop="1" thickBot="1" x14ac:dyDescent="0.35">
      <c r="E23" s="585">
        <v>2013</v>
      </c>
      <c r="F23" s="582">
        <v>1.2925585510688835</v>
      </c>
      <c r="G23" s="583"/>
      <c r="H23" s="569"/>
      <c r="I23" s="569"/>
      <c r="J23" s="569"/>
      <c r="K23" s="569"/>
      <c r="L23" s="568"/>
      <c r="M23" s="569"/>
      <c r="N23" s="569"/>
      <c r="O23" s="579" t="str">
        <v/>
      </c>
      <c r="P23" s="569"/>
      <c r="Q23" s="569"/>
      <c r="R23" s="569"/>
      <c r="S23" s="569"/>
      <c r="T23" s="569"/>
      <c r="U23" s="569"/>
      <c r="V23" s="569"/>
      <c r="W23" s="569"/>
      <c r="X23" s="570"/>
    </row>
    <row r="24" spans="4:24" ht="16.2" customHeight="1" thickTop="1" thickBot="1" x14ac:dyDescent="0.35">
      <c r="E24" s="585">
        <v>2014</v>
      </c>
      <c r="F24" s="582">
        <v>1.2577197149643706</v>
      </c>
      <c r="G24" s="583"/>
      <c r="H24" s="569"/>
      <c r="I24" s="569"/>
      <c r="J24" s="569"/>
      <c r="K24" s="569"/>
      <c r="L24" s="568"/>
      <c r="M24" s="569"/>
      <c r="N24" s="569"/>
      <c r="O24" s="579" t="str">
        <v/>
      </c>
      <c r="P24" s="569"/>
      <c r="Q24" s="569"/>
      <c r="R24" s="569"/>
      <c r="S24" s="569"/>
      <c r="T24" s="569"/>
      <c r="U24" s="569"/>
      <c r="V24" s="569"/>
      <c r="W24" s="569"/>
      <c r="X24" s="570"/>
    </row>
    <row r="25" spans="4:24" ht="16.2" customHeight="1" thickTop="1" thickBot="1" x14ac:dyDescent="0.35">
      <c r="E25" s="585">
        <v>2015</v>
      </c>
      <c r="F25" s="582">
        <v>1.243931088488645</v>
      </c>
      <c r="G25" s="583"/>
      <c r="H25" s="569"/>
      <c r="I25" s="569"/>
      <c r="J25" s="569"/>
      <c r="K25" s="569"/>
      <c r="L25" s="569"/>
      <c r="M25" s="569"/>
      <c r="N25" s="569"/>
      <c r="O25" s="569"/>
      <c r="P25" s="569"/>
      <c r="Q25" s="569"/>
      <c r="R25" s="569"/>
      <c r="S25" s="569"/>
      <c r="T25" s="569"/>
      <c r="U25" s="569"/>
      <c r="V25" s="569"/>
      <c r="W25" s="569"/>
      <c r="X25" s="570"/>
    </row>
    <row r="26" spans="4:24" ht="16.2" customHeight="1" thickTop="1" thickBot="1" x14ac:dyDescent="0.35">
      <c r="E26" s="585">
        <v>2016</v>
      </c>
      <c r="F26" s="582">
        <v>1.2275888717156105</v>
      </c>
      <c r="G26" s="583"/>
      <c r="H26" s="569"/>
      <c r="I26" s="569"/>
      <c r="J26" s="569"/>
      <c r="K26" s="569"/>
      <c r="L26" s="569"/>
      <c r="M26" s="569"/>
      <c r="N26" s="569"/>
      <c r="O26" s="569"/>
      <c r="P26" s="569"/>
      <c r="Q26" s="569"/>
      <c r="R26" s="569"/>
      <c r="S26" s="569"/>
      <c r="T26" s="569"/>
      <c r="U26" s="569"/>
      <c r="V26" s="569"/>
      <c r="W26" s="569"/>
      <c r="X26" s="570"/>
    </row>
    <row r="27" spans="4:24" ht="16.2" customHeight="1" thickTop="1" thickBot="1" x14ac:dyDescent="0.35">
      <c r="D27" s="196" t="e">
        <f ca="1">"'"&amp;$A$1&amp;"'!"&amp;CELL("address",#REF!)&amp;":"&amp;CELL("address",OFFSET(#REF!,0,COUNT(REP.yearsrange)-1))</f>
        <v>#REF!</v>
      </c>
      <c r="E27" s="585">
        <v>2017</v>
      </c>
      <c r="F27" s="582">
        <v>1.1966101694915252</v>
      </c>
      <c r="G27" s="583"/>
      <c r="H27" s="569"/>
      <c r="I27" s="569"/>
      <c r="J27" s="569"/>
      <c r="K27" s="569"/>
      <c r="L27" s="569"/>
      <c r="M27" s="569"/>
      <c r="N27" s="569"/>
      <c r="O27" s="569"/>
      <c r="P27" s="569"/>
      <c r="Q27" s="569"/>
      <c r="R27" s="569"/>
      <c r="S27" s="569"/>
      <c r="T27" s="569"/>
      <c r="U27" s="569"/>
      <c r="V27" s="569"/>
      <c r="W27" s="569"/>
      <c r="X27" s="570"/>
    </row>
    <row r="28" spans="4:24" ht="16.2" customHeight="1" thickTop="1" thickBot="1" x14ac:dyDescent="0.35">
      <c r="D28" s="196" t="e">
        <f ca="1">"'"&amp;$A$1&amp;"'!"&amp;CELL("address",#REF!)&amp;":"&amp;CELL("address",OFFSET(#REF!,0,COUNT(REP.yearsrange)-1))</f>
        <v>#REF!</v>
      </c>
      <c r="E28" s="584">
        <v>2018</v>
      </c>
      <c r="F28" s="582">
        <v>1.151086956521739</v>
      </c>
      <c r="G28" s="583"/>
      <c r="H28" s="569"/>
      <c r="I28" s="569"/>
      <c r="J28" s="569"/>
      <c r="K28" s="569"/>
      <c r="L28" s="569"/>
      <c r="M28" s="569"/>
      <c r="N28" s="569"/>
      <c r="O28" s="569"/>
      <c r="P28" s="569"/>
      <c r="Q28" s="569"/>
      <c r="R28" s="569"/>
      <c r="S28" s="569"/>
      <c r="T28" s="569"/>
      <c r="U28" s="569"/>
      <c r="V28" s="569"/>
      <c r="W28" s="569"/>
      <c r="X28" s="570"/>
    </row>
    <row r="29" spans="4:24" ht="16.2" customHeight="1" thickTop="1" thickBot="1" x14ac:dyDescent="0.35">
      <c r="D29" s="196" t="e">
        <f ca="1">"'"&amp;$A$1&amp;"'!"&amp;CELL("address",#REF!)&amp;":"&amp;CELL("address",OFFSET(#REF!,0,COUNT(REP.yearsrange)-1))</f>
        <v>#REF!</v>
      </c>
      <c r="E29" s="584">
        <v>2019</v>
      </c>
      <c r="F29" s="582">
        <v>1.1226148409893992</v>
      </c>
      <c r="G29" s="583"/>
      <c r="H29" s="569"/>
      <c r="I29" s="569"/>
      <c r="J29" s="569"/>
      <c r="K29" s="569"/>
      <c r="L29" s="569"/>
      <c r="M29" s="569"/>
      <c r="N29" s="569"/>
      <c r="O29" s="569"/>
      <c r="P29" s="569"/>
      <c r="Q29" s="569"/>
      <c r="R29" s="569"/>
      <c r="S29" s="569"/>
      <c r="T29" s="569"/>
      <c r="U29" s="569"/>
      <c r="V29" s="569"/>
      <c r="W29" s="569"/>
      <c r="X29" s="570"/>
    </row>
    <row r="30" spans="4:24" ht="16.2" customHeight="1" thickTop="1" thickBot="1" x14ac:dyDescent="0.35">
      <c r="D30" s="196" t="e">
        <f ca="1">"'"&amp;$A$1&amp;"'!"&amp;CELL("address",#REF!)&amp;":"&amp;CELL("address",OFFSET(#REF!,0,COUNT(REP.yearsrange)-1))</f>
        <v>#REF!</v>
      </c>
      <c r="E30" s="584">
        <v>2020</v>
      </c>
      <c r="F30" s="582">
        <v>1.093255333792154</v>
      </c>
      <c r="G30" s="583"/>
      <c r="H30" s="569"/>
      <c r="I30" s="569"/>
      <c r="J30" s="569"/>
      <c r="K30" s="569"/>
      <c r="L30" s="569"/>
      <c r="M30" s="569"/>
      <c r="N30" s="569"/>
      <c r="O30" s="569"/>
      <c r="P30" s="569"/>
      <c r="Q30" s="569"/>
      <c r="R30" s="569"/>
      <c r="S30" s="569"/>
      <c r="T30" s="569"/>
      <c r="U30" s="569"/>
      <c r="V30" s="569"/>
      <c r="W30" s="569"/>
      <c r="X30" s="570"/>
    </row>
    <row r="31" spans="4:24" ht="16.2" customHeight="1" thickTop="1" thickBot="1" x14ac:dyDescent="0.35">
      <c r="D31" s="196" t="e">
        <f ca="1">"'"&amp;$A$1&amp;"'!"&amp;CELL("address",#REF!)&amp;":"&amp;CELL("address",OFFSET(#REF!,0,COUNT(REP.yearsrange)-1))</f>
        <v>#REF!</v>
      </c>
      <c r="E31" s="584">
        <v>2021</v>
      </c>
      <c r="F31" s="582">
        <v>1.0784114052953155</v>
      </c>
      <c r="G31" s="583"/>
      <c r="H31" s="569"/>
      <c r="I31" s="569"/>
      <c r="J31" s="569"/>
      <c r="K31" s="569"/>
      <c r="L31" s="569"/>
      <c r="M31" s="569"/>
      <c r="N31" s="569"/>
      <c r="O31" s="569"/>
      <c r="P31" s="569"/>
      <c r="Q31" s="569"/>
      <c r="R31" s="569"/>
      <c r="S31" s="569"/>
      <c r="T31" s="569"/>
      <c r="U31" s="569"/>
      <c r="V31" s="569"/>
      <c r="W31" s="569"/>
      <c r="X31" s="570"/>
    </row>
    <row r="32" spans="4:24" ht="16.2" customHeight="1" thickTop="1" x14ac:dyDescent="0.3">
      <c r="D32" s="196" t="e">
        <f ca="1">"'"&amp;$A$1&amp;"'!"&amp;CELL("address",#REF!)&amp;":"&amp;CELL("address",OFFSET(#REF!,0,COUNT(REP.yearsrange)-1))</f>
        <v>#REF!</v>
      </c>
      <c r="E32" s="584">
        <v>2022</v>
      </c>
      <c r="F32" s="582">
        <v>1</v>
      </c>
      <c r="G32" s="583"/>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k4sB8IY/SSEKEoC3GmtKCVOn3hmZ3m+FDa+FAL0YV8BcdiSk7FX+EYU6Pg5yeqbJqfkdMi2u4DKH7uMC/Z/qfQ==" saltValue="R181qaFlszJ9Z9hXOMQqHA=="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4" ht="16.2" hidden="1" customHeight="1" x14ac:dyDescent="0.3">
      <c r="A1" s="110" t="str">
        <f ca="1">MID(CELL("filename",A1),FIND("]",CELL("filename",A1))+1,255)</f>
        <v>HOME</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4" ht="16.2" customHeight="1" thickTop="1" x14ac:dyDescent="0.3">
      <c r="E6" s="181" t="str">
        <f>REP.title1</f>
        <v>STEAM FINAL TREND REPORT FOR 2011-2022</v>
      </c>
      <c r="F6" s="182"/>
      <c r="G6" s="182"/>
      <c r="H6" s="182"/>
      <c r="I6" s="182"/>
      <c r="J6" s="182"/>
      <c r="K6" s="182"/>
      <c r="L6" s="182"/>
      <c r="M6" s="309"/>
      <c r="N6" s="825" t="str">
        <f>"All Financial Outputs "&amp;IF(REP.indexed="YES","Indexed","in Historic Prices")&amp;CHAR(10)&amp;IF(REP.indexed="YES","Indexation Years: "&amp;FOCUSYEAR&amp;" (Comparative Headlines) "&amp;CHAR(10)&amp;MAX(REP.yearsrange)&amp;" (all other sections)","")</f>
        <v>All Financial Outputs Indexed
Indexation Years: 2022 (Comparative Headlines) 
2022 (all other sections)</v>
      </c>
      <c r="O6" s="826"/>
      <c r="P6" s="826"/>
      <c r="Q6" s="826"/>
      <c r="R6" s="827"/>
      <c r="S6" s="815" t="s">
        <v>129</v>
      </c>
      <c r="T6" s="815"/>
      <c r="U6" s="815"/>
      <c r="V6" s="815"/>
      <c r="W6" s="815"/>
      <c r="X6" s="816"/>
    </row>
    <row r="7" spans="1:24" ht="16.2" customHeight="1" thickBot="1" x14ac:dyDescent="0.35">
      <c r="E7" s="310" t="str">
        <f>REP.title2</f>
        <v>CONWY COUNTY BOROUGH COUNCIL</v>
      </c>
      <c r="F7" s="182"/>
      <c r="G7" s="182"/>
      <c r="H7" s="182"/>
      <c r="I7" s="311"/>
      <c r="J7" s="311"/>
      <c r="K7" s="311"/>
      <c r="L7" s="182"/>
      <c r="M7" s="312"/>
      <c r="N7" s="828"/>
      <c r="O7" s="829"/>
      <c r="P7" s="829"/>
      <c r="Q7" s="829"/>
      <c r="R7" s="830"/>
      <c r="S7" s="817"/>
      <c r="T7" s="817"/>
      <c r="U7" s="817"/>
      <c r="V7" s="817"/>
      <c r="W7" s="817"/>
      <c r="X7" s="818"/>
    </row>
    <row r="8" spans="1:24" ht="16.2" customHeight="1" thickTop="1" thickBot="1" x14ac:dyDescent="0.35">
      <c r="E8" s="812" t="s">
        <v>127</v>
      </c>
      <c r="F8" s="813"/>
      <c r="G8" s="813"/>
      <c r="H8" s="813"/>
      <c r="I8" s="813"/>
      <c r="J8" s="813"/>
      <c r="K8" s="813"/>
      <c r="L8" s="813"/>
      <c r="M8" s="813"/>
      <c r="N8" s="813"/>
      <c r="O8" s="813"/>
      <c r="P8" s="813"/>
      <c r="Q8" s="813"/>
      <c r="R8" s="813"/>
      <c r="S8" s="813"/>
      <c r="T8" s="813"/>
      <c r="U8" s="813"/>
      <c r="V8" s="813"/>
      <c r="W8" s="813"/>
      <c r="X8" s="814"/>
    </row>
    <row r="9" spans="1:24" ht="16.2" customHeight="1" thickTop="1" x14ac:dyDescent="0.3">
      <c r="E9" s="822" t="s">
        <v>126</v>
      </c>
      <c r="F9" s="823"/>
      <c r="G9" s="823"/>
      <c r="H9" s="823"/>
      <c r="I9" s="823"/>
      <c r="J9" s="823"/>
      <c r="K9" s="823"/>
      <c r="L9" s="823"/>
      <c r="M9" s="823"/>
      <c r="N9" s="823"/>
      <c r="O9" s="823"/>
      <c r="P9" s="823"/>
      <c r="Q9" s="823"/>
      <c r="R9" s="823"/>
      <c r="S9" s="823"/>
      <c r="T9" s="823"/>
      <c r="U9" s="823"/>
      <c r="V9" s="823"/>
      <c r="W9" s="823"/>
      <c r="X9" s="824"/>
    </row>
    <row r="10" spans="1:24" s="125" customFormat="1" ht="16.2" customHeight="1" x14ac:dyDescent="0.3">
      <c r="E10" s="313"/>
      <c r="F10" s="314"/>
      <c r="G10" s="315"/>
      <c r="H10" s="315"/>
      <c r="I10" s="315"/>
      <c r="J10" s="315"/>
      <c r="K10" s="315"/>
      <c r="L10" s="315"/>
      <c r="M10" s="315"/>
      <c r="N10" s="315"/>
      <c r="O10" s="315"/>
      <c r="P10" s="316"/>
      <c r="Q10" s="316"/>
      <c r="R10" s="316"/>
      <c r="S10" s="314"/>
      <c r="T10" s="314"/>
      <c r="U10" s="314"/>
      <c r="V10" s="316"/>
      <c r="W10" s="316"/>
      <c r="X10" s="317"/>
    </row>
    <row r="11" spans="1:24" s="125" customFormat="1" ht="16.2" customHeight="1" x14ac:dyDescent="0.3">
      <c r="E11" s="310"/>
      <c r="F11" s="311"/>
      <c r="G11" s="311"/>
      <c r="H11" s="311"/>
      <c r="I11" s="311"/>
      <c r="J11" s="311"/>
      <c r="K11" s="311"/>
      <c r="L11" s="311"/>
      <c r="M11" s="316"/>
      <c r="N11" s="316"/>
      <c r="O11" s="316"/>
      <c r="P11" s="316"/>
      <c r="Q11" s="316"/>
      <c r="R11" s="316"/>
      <c r="S11" s="314"/>
      <c r="T11" s="314"/>
      <c r="U11" s="314"/>
      <c r="V11" s="316"/>
      <c r="W11" s="316"/>
      <c r="X11" s="317"/>
    </row>
    <row r="12" spans="1:24" s="125" customFormat="1" ht="16.2" customHeight="1" x14ac:dyDescent="0.3">
      <c r="E12" s="310"/>
      <c r="F12" s="311"/>
      <c r="G12" s="311"/>
      <c r="H12" s="311"/>
      <c r="I12" s="311"/>
      <c r="J12" s="311"/>
      <c r="K12" s="311"/>
      <c r="L12" s="311"/>
      <c r="M12" s="316"/>
      <c r="N12" s="316"/>
      <c r="O12" s="316"/>
      <c r="P12" s="316"/>
      <c r="Q12" s="316"/>
      <c r="R12" s="316"/>
      <c r="S12" s="314"/>
      <c r="T12" s="314"/>
      <c r="U12" s="314"/>
      <c r="V12" s="316"/>
      <c r="W12" s="316"/>
      <c r="X12" s="317"/>
    </row>
    <row r="13" spans="1:24" ht="16.2" customHeight="1" x14ac:dyDescent="0.3">
      <c r="E13" s="298"/>
      <c r="F13" s="182"/>
      <c r="G13" s="318"/>
      <c r="H13" s="318"/>
      <c r="I13" s="319"/>
      <c r="J13" s="318"/>
      <c r="K13" s="318"/>
      <c r="L13" s="319"/>
      <c r="M13" s="318"/>
      <c r="N13" s="318"/>
      <c r="O13" s="319"/>
      <c r="P13" s="318"/>
      <c r="Q13" s="318"/>
      <c r="R13" s="319"/>
      <c r="S13" s="318"/>
      <c r="T13" s="318"/>
      <c r="U13" s="319"/>
      <c r="V13" s="318"/>
      <c r="W13" s="318"/>
      <c r="X13" s="320"/>
    </row>
    <row r="14" spans="1:24" ht="16.2" customHeight="1" x14ac:dyDescent="0.3">
      <c r="E14" s="321"/>
      <c r="F14" s="322"/>
      <c r="G14" s="323"/>
      <c r="H14" s="323"/>
      <c r="I14" s="324"/>
      <c r="J14" s="323"/>
      <c r="K14" s="323"/>
      <c r="L14" s="324"/>
      <c r="M14" s="323"/>
      <c r="N14" s="323"/>
      <c r="O14" s="324"/>
      <c r="P14" s="323"/>
      <c r="Q14" s="323"/>
      <c r="R14" s="324"/>
      <c r="S14" s="323"/>
      <c r="T14" s="323"/>
      <c r="U14" s="324"/>
      <c r="V14" s="323"/>
      <c r="W14" s="323"/>
      <c r="X14" s="325"/>
    </row>
    <row r="15" spans="1:24" ht="16.2" customHeight="1" x14ac:dyDescent="0.3">
      <c r="E15" s="321"/>
      <c r="F15" s="322"/>
      <c r="G15" s="323"/>
      <c r="H15" s="323"/>
      <c r="I15" s="324"/>
      <c r="J15" s="323"/>
      <c r="K15" s="323"/>
      <c r="L15" s="324"/>
      <c r="M15" s="323"/>
      <c r="N15" s="323"/>
      <c r="O15" s="324"/>
      <c r="P15" s="323"/>
      <c r="Q15" s="323"/>
      <c r="R15" s="324"/>
      <c r="S15" s="323"/>
      <c r="T15" s="323"/>
      <c r="U15" s="324"/>
      <c r="V15" s="323"/>
      <c r="W15" s="323"/>
      <c r="X15" s="325"/>
    </row>
    <row r="16" spans="1:24" ht="16.2" customHeight="1" x14ac:dyDescent="0.3">
      <c r="E16" s="321"/>
      <c r="F16" s="322"/>
      <c r="G16" s="323"/>
      <c r="H16" s="323"/>
      <c r="I16" s="324"/>
      <c r="J16" s="323"/>
      <c r="K16" s="323"/>
      <c r="L16" s="324"/>
      <c r="M16" s="323"/>
      <c r="N16" s="323"/>
      <c r="O16" s="324"/>
      <c r="P16" s="323"/>
      <c r="Q16" s="323"/>
      <c r="R16" s="324"/>
      <c r="S16" s="323"/>
      <c r="T16" s="323"/>
      <c r="U16" s="324"/>
      <c r="V16" s="326"/>
      <c r="W16" s="326"/>
      <c r="X16" s="325"/>
    </row>
    <row r="17" spans="5:24" ht="16.2" customHeight="1" x14ac:dyDescent="0.3">
      <c r="E17" s="321"/>
      <c r="F17" s="322"/>
      <c r="G17" s="326"/>
      <c r="H17" s="326"/>
      <c r="I17" s="324"/>
      <c r="J17" s="326"/>
      <c r="K17" s="326"/>
      <c r="L17" s="324"/>
      <c r="M17" s="326"/>
      <c r="N17" s="326"/>
      <c r="O17" s="324"/>
      <c r="P17" s="326"/>
      <c r="Q17" s="326"/>
      <c r="R17" s="324"/>
      <c r="S17" s="326"/>
      <c r="T17" s="326"/>
      <c r="U17" s="324"/>
      <c r="V17" s="326"/>
      <c r="W17" s="326"/>
      <c r="X17" s="325"/>
    </row>
    <row r="18" spans="5:24" ht="16.2" customHeight="1" x14ac:dyDescent="0.3">
      <c r="E18" s="327"/>
      <c r="F18" s="322"/>
      <c r="G18" s="328"/>
      <c r="H18" s="323"/>
      <c r="I18" s="324"/>
      <c r="J18" s="328"/>
      <c r="K18" s="323"/>
      <c r="L18" s="324"/>
      <c r="M18" s="328"/>
      <c r="N18" s="323"/>
      <c r="O18" s="324"/>
      <c r="P18" s="323"/>
      <c r="Q18" s="323"/>
      <c r="R18" s="324"/>
      <c r="S18" s="328"/>
      <c r="T18" s="323"/>
      <c r="U18" s="324"/>
      <c r="V18" s="328"/>
      <c r="W18" s="323"/>
      <c r="X18" s="325"/>
    </row>
    <row r="19" spans="5:24" ht="16.2" customHeight="1" x14ac:dyDescent="0.3">
      <c r="E19" s="327"/>
      <c r="F19" s="322"/>
      <c r="G19" s="323"/>
      <c r="H19" s="323"/>
      <c r="I19" s="324"/>
      <c r="J19" s="323"/>
      <c r="K19" s="323"/>
      <c r="L19" s="324"/>
      <c r="M19" s="323"/>
      <c r="N19" s="323"/>
      <c r="O19" s="324"/>
      <c r="P19" s="323"/>
      <c r="Q19" s="323"/>
      <c r="R19" s="324"/>
      <c r="S19" s="323"/>
      <c r="T19" s="323"/>
      <c r="U19" s="324"/>
      <c r="V19" s="328"/>
      <c r="W19" s="323"/>
      <c r="X19" s="325"/>
    </row>
    <row r="20" spans="5:24" ht="16.2" customHeight="1" x14ac:dyDescent="0.3">
      <c r="E20" s="329"/>
      <c r="F20" s="330"/>
      <c r="G20" s="330"/>
      <c r="H20" s="330"/>
      <c r="I20" s="330"/>
      <c r="J20" s="330"/>
      <c r="K20" s="330"/>
      <c r="L20" s="330"/>
      <c r="M20" s="330"/>
      <c r="N20" s="330"/>
      <c r="O20" s="330"/>
      <c r="P20" s="330"/>
      <c r="Q20" s="330"/>
      <c r="R20" s="330"/>
      <c r="S20" s="330"/>
      <c r="T20" s="330"/>
      <c r="U20" s="330"/>
      <c r="V20" s="330"/>
      <c r="W20" s="330"/>
      <c r="X20" s="331"/>
    </row>
    <row r="21" spans="5:24" ht="16.2" customHeight="1" x14ac:dyDescent="0.3">
      <c r="E21" s="819" t="s">
        <v>128</v>
      </c>
      <c r="F21" s="820"/>
      <c r="G21" s="820"/>
      <c r="H21" s="820"/>
      <c r="I21" s="820"/>
      <c r="J21" s="820"/>
      <c r="K21" s="820"/>
      <c r="L21" s="820"/>
      <c r="M21" s="820"/>
      <c r="N21" s="820"/>
      <c r="O21" s="820"/>
      <c r="P21" s="820"/>
      <c r="Q21" s="820"/>
      <c r="R21" s="820"/>
      <c r="S21" s="820"/>
      <c r="T21" s="820"/>
      <c r="U21" s="820"/>
      <c r="V21" s="820"/>
      <c r="W21" s="820"/>
      <c r="X21" s="821"/>
    </row>
    <row r="22" spans="5:24" ht="16.2" customHeight="1" x14ac:dyDescent="0.3">
      <c r="E22" s="332"/>
      <c r="F22" s="333"/>
      <c r="G22" s="120"/>
      <c r="H22" s="120"/>
      <c r="I22" s="120"/>
      <c r="J22" s="120"/>
      <c r="K22" s="120"/>
      <c r="L22" s="120"/>
      <c r="M22" s="120"/>
      <c r="N22" s="120"/>
      <c r="O22" s="120"/>
      <c r="P22" s="120"/>
      <c r="Q22" s="120"/>
      <c r="R22" s="120"/>
      <c r="S22" s="120"/>
      <c r="T22" s="120"/>
      <c r="U22" s="120"/>
      <c r="V22" s="120"/>
      <c r="W22" s="120"/>
      <c r="X22" s="121"/>
    </row>
    <row r="23" spans="5:24" ht="16.2" customHeight="1" x14ac:dyDescent="0.3">
      <c r="E23" s="332"/>
      <c r="F23" s="333"/>
      <c r="G23" s="120"/>
      <c r="H23" s="120"/>
      <c r="I23" s="120"/>
      <c r="J23" s="120"/>
      <c r="K23" s="120"/>
      <c r="L23" s="120"/>
      <c r="M23" s="120"/>
      <c r="N23" s="120"/>
      <c r="O23" s="120"/>
      <c r="P23" s="120"/>
      <c r="Q23" s="120"/>
      <c r="R23" s="120"/>
      <c r="S23" s="120"/>
      <c r="T23" s="120"/>
      <c r="U23" s="120"/>
      <c r="V23" s="120"/>
      <c r="W23" s="120"/>
      <c r="X23" s="121"/>
    </row>
    <row r="24" spans="5:24" ht="16.2" customHeight="1" x14ac:dyDescent="0.3">
      <c r="E24" s="332"/>
      <c r="F24" s="333"/>
      <c r="G24" s="120"/>
      <c r="H24" s="120"/>
      <c r="I24" s="120"/>
      <c r="J24" s="120"/>
      <c r="K24" s="120"/>
      <c r="L24" s="120"/>
      <c r="M24" s="120"/>
      <c r="N24" s="120"/>
      <c r="O24" s="120"/>
      <c r="P24" s="120"/>
      <c r="Q24" s="120"/>
      <c r="R24" s="120"/>
      <c r="S24" s="120"/>
      <c r="T24" s="120"/>
      <c r="U24" s="120"/>
      <c r="V24" s="120"/>
      <c r="W24" s="120"/>
      <c r="X24" s="121"/>
    </row>
    <row r="25" spans="5:24" ht="16.2" customHeight="1" x14ac:dyDescent="0.3">
      <c r="E25" s="332"/>
      <c r="F25" s="333"/>
      <c r="G25" s="120"/>
      <c r="H25" s="120"/>
      <c r="I25" s="120"/>
      <c r="J25" s="120"/>
      <c r="K25" s="120"/>
      <c r="L25" s="120"/>
      <c r="M25" s="120"/>
      <c r="N25" s="120"/>
      <c r="O25" s="120"/>
      <c r="P25" s="120"/>
      <c r="Q25" s="120"/>
      <c r="R25" s="120"/>
      <c r="S25" s="120"/>
      <c r="T25" s="120"/>
      <c r="U25" s="120"/>
      <c r="V25" s="120"/>
      <c r="W25" s="120"/>
      <c r="X25" s="121"/>
    </row>
    <row r="26" spans="5:24" ht="16.2" customHeight="1" x14ac:dyDescent="0.3">
      <c r="E26" s="334"/>
      <c r="F26" s="335"/>
      <c r="G26" s="120"/>
      <c r="H26" s="120"/>
      <c r="I26" s="120"/>
      <c r="J26" s="120"/>
      <c r="K26" s="120"/>
      <c r="L26" s="120"/>
      <c r="M26" s="120"/>
      <c r="N26" s="120"/>
      <c r="O26" s="120"/>
      <c r="P26" s="120"/>
      <c r="Q26" s="120"/>
      <c r="R26" s="120"/>
      <c r="S26" s="120"/>
      <c r="T26" s="120"/>
      <c r="U26" s="120"/>
      <c r="V26" s="120"/>
      <c r="W26" s="120"/>
      <c r="X26" s="121"/>
    </row>
    <row r="27" spans="5:24" ht="16.2" customHeight="1" x14ac:dyDescent="0.3">
      <c r="E27" s="332"/>
      <c r="F27" s="333"/>
      <c r="G27" s="333"/>
      <c r="H27" s="333"/>
      <c r="I27" s="333"/>
      <c r="J27" s="333"/>
      <c r="K27" s="333"/>
      <c r="L27" s="333"/>
      <c r="M27" s="333"/>
      <c r="N27" s="333"/>
      <c r="O27" s="333"/>
      <c r="P27" s="335"/>
      <c r="Q27" s="335"/>
      <c r="R27" s="335"/>
      <c r="S27" s="335"/>
      <c r="T27" s="335"/>
      <c r="U27" s="335"/>
      <c r="V27" s="335"/>
      <c r="W27" s="335"/>
      <c r="X27" s="336"/>
    </row>
    <row r="28" spans="5:24" ht="16.2" customHeight="1" x14ac:dyDescent="0.3">
      <c r="E28" s="119"/>
      <c r="F28" s="120"/>
      <c r="G28" s="120"/>
      <c r="H28" s="120"/>
      <c r="I28" s="120"/>
      <c r="J28" s="337"/>
      <c r="K28" s="337"/>
      <c r="L28" s="338"/>
      <c r="M28" s="333"/>
      <c r="N28" s="333"/>
      <c r="O28" s="333"/>
      <c r="P28" s="337"/>
      <c r="Q28" s="337"/>
      <c r="R28" s="338"/>
      <c r="S28" s="120"/>
      <c r="T28" s="120"/>
      <c r="U28" s="120"/>
      <c r="V28" s="120"/>
      <c r="W28" s="120"/>
      <c r="X28" s="121"/>
    </row>
    <row r="29" spans="5:24" ht="16.2" customHeight="1" x14ac:dyDescent="0.3">
      <c r="E29" s="119"/>
      <c r="F29" s="120"/>
      <c r="G29" s="120"/>
      <c r="H29" s="120"/>
      <c r="I29" s="120"/>
      <c r="J29" s="339"/>
      <c r="K29" s="339"/>
      <c r="L29" s="340"/>
      <c r="M29" s="120"/>
      <c r="N29" s="120"/>
      <c r="O29" s="120"/>
      <c r="P29" s="341"/>
      <c r="Q29" s="341"/>
      <c r="R29" s="340"/>
      <c r="S29" s="120"/>
      <c r="T29" s="120"/>
      <c r="U29" s="120"/>
      <c r="V29" s="120"/>
      <c r="W29" s="120"/>
      <c r="X29" s="121"/>
    </row>
    <row r="30" spans="5:24" ht="16.2" customHeight="1" x14ac:dyDescent="0.3">
      <c r="E30" s="119"/>
      <c r="F30" s="120"/>
      <c r="G30" s="120"/>
      <c r="H30" s="120"/>
      <c r="I30" s="120"/>
      <c r="J30" s="339"/>
      <c r="K30" s="339"/>
      <c r="L30" s="340"/>
      <c r="M30" s="120"/>
      <c r="N30" s="120"/>
      <c r="O30" s="120"/>
      <c r="P30" s="341"/>
      <c r="Q30" s="341"/>
      <c r="R30" s="340"/>
      <c r="S30" s="120"/>
      <c r="T30" s="120"/>
      <c r="U30" s="120"/>
      <c r="V30" s="120"/>
      <c r="W30" s="120"/>
      <c r="X30" s="121"/>
    </row>
    <row r="31" spans="5:24" ht="16.2" customHeight="1" x14ac:dyDescent="0.3">
      <c r="E31" s="119"/>
      <c r="F31" s="120"/>
      <c r="G31" s="120"/>
      <c r="H31" s="120"/>
      <c r="I31" s="120"/>
      <c r="J31" s="339"/>
      <c r="K31" s="339"/>
      <c r="L31" s="340"/>
      <c r="M31" s="120"/>
      <c r="N31" s="120"/>
      <c r="O31" s="120"/>
      <c r="P31" s="341"/>
      <c r="Q31" s="341"/>
      <c r="R31" s="340"/>
      <c r="S31" s="120"/>
      <c r="T31" s="120"/>
      <c r="U31" s="120"/>
      <c r="V31" s="120"/>
      <c r="W31" s="120"/>
      <c r="X31" s="121"/>
    </row>
    <row r="32" spans="5:24" ht="16.2" customHeight="1" x14ac:dyDescent="0.3">
      <c r="E32" s="119"/>
      <c r="F32" s="120"/>
      <c r="G32" s="120"/>
      <c r="H32" s="120"/>
      <c r="I32" s="120"/>
      <c r="J32" s="339"/>
      <c r="K32" s="339"/>
      <c r="L32" s="340"/>
      <c r="M32" s="120"/>
      <c r="N32" s="120"/>
      <c r="O32" s="120"/>
      <c r="P32" s="341"/>
      <c r="Q32" s="341"/>
      <c r="R32" s="340"/>
      <c r="S32" s="120"/>
      <c r="T32" s="120"/>
      <c r="U32" s="120"/>
      <c r="V32" s="120"/>
      <c r="W32" s="120"/>
      <c r="X32" s="121"/>
    </row>
    <row r="33" spans="4:24" ht="16.2" customHeight="1" x14ac:dyDescent="0.3">
      <c r="E33" s="819" t="s">
        <v>130</v>
      </c>
      <c r="F33" s="820"/>
      <c r="G33" s="820"/>
      <c r="H33" s="820"/>
      <c r="I33" s="820"/>
      <c r="J33" s="820"/>
      <c r="K33" s="821"/>
      <c r="L33" s="819" t="s">
        <v>131</v>
      </c>
      <c r="M33" s="820"/>
      <c r="N33" s="820"/>
      <c r="O33" s="820"/>
      <c r="P33" s="820"/>
      <c r="Q33" s="820"/>
      <c r="R33" s="820"/>
      <c r="S33" s="821"/>
      <c r="T33" s="819" t="s">
        <v>133</v>
      </c>
      <c r="U33" s="820"/>
      <c r="V33" s="820"/>
      <c r="W33" s="820"/>
      <c r="X33" s="821"/>
    </row>
    <row r="34" spans="4:24" ht="16.2" customHeight="1" x14ac:dyDescent="0.3">
      <c r="E34" s="342"/>
      <c r="F34" s="343"/>
      <c r="G34" s="343"/>
      <c r="H34" s="343"/>
      <c r="I34" s="343"/>
      <c r="J34" s="344"/>
      <c r="K34" s="344"/>
      <c r="L34" s="345"/>
      <c r="M34" s="346"/>
      <c r="N34" s="346"/>
      <c r="O34" s="346"/>
      <c r="P34" s="347"/>
      <c r="Q34" s="347"/>
      <c r="R34" s="345"/>
      <c r="S34" s="343"/>
      <c r="T34" s="343"/>
      <c r="U34" s="343"/>
      <c r="V34" s="343"/>
      <c r="W34" s="343"/>
      <c r="X34" s="348"/>
    </row>
    <row r="35" spans="4:24" ht="16.2" customHeight="1" x14ac:dyDescent="0.3">
      <c r="E35" s="342"/>
      <c r="F35" s="343"/>
      <c r="G35" s="343"/>
      <c r="H35" s="343"/>
      <c r="I35" s="343"/>
      <c r="J35" s="349"/>
      <c r="K35" s="349"/>
      <c r="L35" s="350"/>
      <c r="M35" s="343"/>
      <c r="N35" s="343"/>
      <c r="O35" s="343"/>
      <c r="P35" s="351"/>
      <c r="Q35" s="351"/>
      <c r="R35" s="350"/>
      <c r="S35" s="343"/>
      <c r="T35" s="343"/>
      <c r="U35" s="343"/>
      <c r="V35" s="343"/>
      <c r="W35" s="343"/>
      <c r="X35" s="348"/>
    </row>
    <row r="36" spans="4:24" ht="16.2" customHeight="1" thickBot="1" x14ac:dyDescent="0.35">
      <c r="E36" s="352"/>
      <c r="F36" s="353"/>
      <c r="G36" s="353"/>
      <c r="H36" s="353"/>
      <c r="I36" s="353"/>
      <c r="J36" s="354"/>
      <c r="K36" s="354"/>
      <c r="L36" s="355"/>
      <c r="M36" s="356"/>
      <c r="N36" s="356"/>
      <c r="O36" s="356"/>
      <c r="P36" s="357"/>
      <c r="Q36" s="357"/>
      <c r="R36" s="355"/>
      <c r="S36" s="353"/>
      <c r="T36" s="353"/>
      <c r="U36" s="353"/>
      <c r="V36" s="353"/>
      <c r="W36" s="353"/>
      <c r="X36" s="358"/>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L34:L36 R34:R36">
    <cfRule type="cellIs" dxfId="189" priority="1" operator="greaterThanOrEqual">
      <formula>REP.percenthighlight</formula>
    </cfRule>
    <cfRule type="cellIs" dxfId="188"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22860</xdr:rowOff>
                  </from>
                  <to>
                    <xdr:col>8</xdr:col>
                    <xdr:colOff>137160</xdr:colOff>
                    <xdr:row>4</xdr:row>
                    <xdr:rowOff>297180</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601980</xdr:colOff>
                    <xdr:row>4</xdr:row>
                    <xdr:rowOff>22860</xdr:rowOff>
                  </from>
                  <to>
                    <xdr:col>4</xdr:col>
                    <xdr:colOff>1318260</xdr:colOff>
                    <xdr:row>4</xdr:row>
                    <xdr:rowOff>297180</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26" activePane="bottomLeft" state="frozen"/>
      <selection activeCell="M48" sqref="M48"/>
      <selection pane="bottomLeft" activeCell="S40" sqref="S4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USER GUIDE</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2" t="str">
        <f>REP.title1</f>
        <v>STEAM FINAL TREND REPORT FOR 2011-2022</v>
      </c>
      <c r="F6" s="553"/>
      <c r="G6" s="553"/>
      <c r="H6" s="553"/>
      <c r="I6" s="553"/>
      <c r="J6" s="553"/>
      <c r="K6" s="553"/>
      <c r="L6" s="553"/>
      <c r="M6" s="553"/>
      <c r="N6" s="553"/>
      <c r="O6" s="553"/>
      <c r="P6" s="557"/>
      <c r="Q6" s="557"/>
      <c r="R6" s="557"/>
      <c r="S6" s="831" t="s">
        <v>165</v>
      </c>
      <c r="T6" s="832"/>
      <c r="U6" s="832"/>
      <c r="V6" s="832"/>
      <c r="W6" s="832"/>
      <c r="X6" s="833"/>
    </row>
    <row r="7" spans="1:26" ht="16.2" customHeight="1" thickBot="1" x14ac:dyDescent="0.35">
      <c r="E7" s="554" t="str">
        <f>REP.title2</f>
        <v>CONWY COUNTY BOROUGH COUNCIL</v>
      </c>
      <c r="F7" s="555"/>
      <c r="G7" s="555"/>
      <c r="H7" s="555"/>
      <c r="I7" s="556"/>
      <c r="J7" s="556"/>
      <c r="K7" s="556"/>
      <c r="L7" s="556"/>
      <c r="M7" s="556"/>
      <c r="N7" s="556"/>
      <c r="O7" s="558"/>
      <c r="P7" s="558"/>
      <c r="Q7" s="558"/>
      <c r="R7" s="558"/>
      <c r="S7" s="834"/>
      <c r="T7" s="835"/>
      <c r="U7" s="835"/>
      <c r="V7" s="835"/>
      <c r="W7" s="835"/>
      <c r="X7" s="836"/>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'USER GUIDE'!$G$27:$R$27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'USER GUIDE'!$G$28:$R$28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'USER GUIDE'!$G$29:$R$29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'USER GUIDE'!$G$30:$R$30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'USER GUIDE'!$G$31:$R$31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'USER GUIDE'!$G$32:$R$32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48"/>
      <c r="F36" s="549"/>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550"/>
      <c r="F37" s="551"/>
      <c r="G37" s="135"/>
      <c r="H37" s="135"/>
      <c r="I37" s="135"/>
      <c r="J37" s="135"/>
      <c r="K37" s="135"/>
      <c r="L37" s="135"/>
      <c r="M37" s="135"/>
      <c r="N37" s="135"/>
      <c r="O37" s="135"/>
      <c r="P37" s="135"/>
      <c r="Q37" s="135"/>
      <c r="R37" s="135"/>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D2ihXCChcOY8/xWC5rkI24Q7FNKu2I+hkkCohEOncNRDUlLf2M+zjOOUGdEunYzhHdCVlyrDHxpNwFX2uCqGJg==" saltValue="vCxoizy4ZQrXTeSdc3WS2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7" ht="16.2" hidden="1" customHeight="1" x14ac:dyDescent="0.3">
      <c r="A1" s="110" t="str">
        <f ca="1">MID(CELL("filename",A1),FIND("]",CELL("filename",A1))+1,255)</f>
        <v>COMPARATIVE HEADLINES</v>
      </c>
      <c r="E1" s="113"/>
      <c r="F1" s="114"/>
      <c r="G1" s="114"/>
      <c r="H1" s="114"/>
      <c r="I1" s="114"/>
      <c r="J1" s="114"/>
      <c r="K1" s="114"/>
      <c r="L1" s="114"/>
      <c r="M1" s="114"/>
      <c r="N1" s="114"/>
      <c r="O1" s="114"/>
      <c r="P1" s="114"/>
      <c r="Q1" s="114"/>
      <c r="R1" s="114"/>
      <c r="S1" s="114"/>
      <c r="T1" s="114"/>
      <c r="U1" s="114"/>
      <c r="V1" s="114"/>
      <c r="W1" s="114"/>
      <c r="X1" s="115"/>
    </row>
    <row r="2" spans="1:27" ht="16.2" customHeight="1" thickTop="1" x14ac:dyDescent="0.3">
      <c r="A2" s="618">
        <f>IF(($A$3/1000000)&gt;1,1000000,IF(($A$3/1000)&gt;1,1000,1))</f>
        <v>1000000</v>
      </c>
      <c r="B2" s="618">
        <f>IF((B3/1000000)&gt;1,1000000,IF((B3/1000)&gt;1,1000,1))</f>
        <v>1000</v>
      </c>
      <c r="C2" s="618">
        <f>B2</f>
        <v>1000</v>
      </c>
      <c r="D2" s="619"/>
      <c r="E2" s="116"/>
      <c r="F2" s="117"/>
      <c r="G2" s="117"/>
      <c r="H2" s="117"/>
      <c r="I2" s="117"/>
      <c r="J2" s="117"/>
      <c r="K2" s="117"/>
      <c r="L2" s="117"/>
      <c r="M2" s="117"/>
      <c r="N2" s="117"/>
      <c r="O2" s="117"/>
      <c r="P2" s="117"/>
      <c r="Q2" s="117"/>
      <c r="R2" s="117"/>
      <c r="S2" s="117"/>
      <c r="T2" s="117"/>
      <c r="U2" s="117"/>
      <c r="V2" s="117"/>
      <c r="W2" s="117"/>
      <c r="X2" s="118"/>
    </row>
    <row r="3" spans="1:27" ht="26.4" customHeight="1" x14ac:dyDescent="0.3">
      <c r="A3" s="661">
        <f>VLOOKUP(FOCUSYEAR&amp;"."&amp;$E16&amp;"."&amp;V$68,REP.data,18,FALSE)</f>
        <v>1097754.5416513521</v>
      </c>
      <c r="B3" s="620">
        <f>VLOOKUP(FOCUSYEAR&amp;"."&amp;$E14&amp;"."&amp;V$68,REP.data,18,FALSE)</f>
        <v>9472.0991330439301</v>
      </c>
      <c r="C3" s="620">
        <f>VLOOKUP(FOCUSYEAR&amp;"."&amp;$E13&amp;"."&amp;V$68,REP.data,18,FALSE)</f>
        <v>17957.917562781528</v>
      </c>
      <c r="D3" s="619"/>
      <c r="E3" s="119"/>
      <c r="F3" s="120"/>
      <c r="G3" s="120"/>
      <c r="H3" s="120"/>
      <c r="I3" s="120"/>
      <c r="J3" s="120"/>
      <c r="K3" s="120"/>
      <c r="L3" s="120"/>
      <c r="M3" s="120"/>
      <c r="N3" s="120"/>
      <c r="O3" s="120"/>
      <c r="P3" s="120"/>
      <c r="Q3" s="120"/>
      <c r="R3" s="120"/>
      <c r="S3" s="120"/>
      <c r="T3" s="120"/>
      <c r="U3" s="120"/>
      <c r="V3" s="120"/>
      <c r="W3" s="120"/>
      <c r="X3" s="121"/>
    </row>
    <row r="4" spans="1:27" ht="26.4" customHeight="1" x14ac:dyDescent="0.3">
      <c r="A4" s="621" t="str">
        <f>IFERROR(IF(A$2=1,"£000s",IF(A$2=1000,"£M","£Bn")),"")</f>
        <v>£Bn</v>
      </c>
      <c r="B4" s="621" t="str">
        <f>IFERROR(IF(B$2=1,"000s",IF(B$2=1000,"M","Bn")),"")</f>
        <v>M</v>
      </c>
      <c r="C4" s="621" t="str">
        <f>IFERROR(IF(C$2=1,"000s",IF(C$2=1000,"M","Bn")),"")</f>
        <v>M</v>
      </c>
      <c r="D4" s="619"/>
      <c r="E4" s="204"/>
      <c r="F4" s="205"/>
      <c r="G4" s="205"/>
      <c r="H4" s="205"/>
      <c r="I4" s="205"/>
      <c r="J4" s="205"/>
      <c r="K4" s="205"/>
      <c r="L4" s="205"/>
      <c r="M4" s="205"/>
      <c r="N4" s="205"/>
      <c r="O4" s="205"/>
      <c r="P4" s="205"/>
      <c r="Q4" s="205"/>
      <c r="R4" s="205"/>
      <c r="S4" s="205"/>
      <c r="T4" s="205"/>
      <c r="U4" s="205"/>
      <c r="V4" s="205"/>
      <c r="W4" s="205"/>
      <c r="X4" s="206"/>
    </row>
    <row r="5" spans="1:27"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7" ht="16.2" customHeight="1" thickTop="1" x14ac:dyDescent="0.3">
      <c r="E6" s="361" t="str">
        <f>REP.title1</f>
        <v>STEAM FINAL TREND REPORT FOR 2011-2022</v>
      </c>
      <c r="F6" s="381"/>
      <c r="G6" s="381"/>
      <c r="H6" s="381"/>
      <c r="I6" s="381"/>
      <c r="J6" s="381"/>
      <c r="K6" s="381"/>
      <c r="L6" s="381"/>
      <c r="M6" s="381"/>
      <c r="N6" s="381"/>
      <c r="O6" s="382"/>
      <c r="P6" s="909" t="str">
        <f>"Comparing "&amp;FOCUSYEAR&amp;" and "&amp;COMPARISONYEAR</f>
        <v>Comparing 2022 and 2021</v>
      </c>
      <c r="Q6" s="910"/>
      <c r="R6" s="911"/>
      <c r="S6" s="888" t="str">
        <f ca="1">$A$1</f>
        <v>COMPARATIVE HEADLINES</v>
      </c>
      <c r="T6" s="889"/>
      <c r="U6" s="889"/>
      <c r="V6" s="889"/>
      <c r="W6" s="889"/>
      <c r="X6" s="890"/>
    </row>
    <row r="7" spans="1:27" ht="16.2" customHeight="1" thickBot="1" x14ac:dyDescent="0.35">
      <c r="E7" s="362" t="str">
        <f>REP.title2</f>
        <v>CONWY COUNTY BOROUGH COUNCIL</v>
      </c>
      <c r="F7" s="363"/>
      <c r="G7" s="363"/>
      <c r="H7" s="363"/>
      <c r="I7" s="364"/>
      <c r="J7" s="364"/>
      <c r="K7" s="364"/>
      <c r="L7" s="364"/>
      <c r="M7" s="364"/>
      <c r="N7" s="364"/>
      <c r="O7" s="383"/>
      <c r="P7" s="912" t="str">
        <f>IF(REP.indexed="YES",COMPARISONYEAR&amp;" in "&amp;FOCUSYEAR&amp;" prices ("&amp;ROUND(VALUE(INDEX(GTS_SHEET!$F$19:$F$30,GTS_SHEET!J33)),3)&amp;")","All £'s Historic Prices")</f>
        <v>2021 in 2022 prices (1.078)</v>
      </c>
      <c r="Q7" s="913"/>
      <c r="R7" s="914"/>
      <c r="S7" s="891"/>
      <c r="T7" s="892"/>
      <c r="U7" s="892"/>
      <c r="V7" s="892"/>
      <c r="W7" s="892"/>
      <c r="X7" s="893"/>
    </row>
    <row r="8" spans="1:27" ht="16.2" customHeight="1" thickTop="1" thickBot="1" x14ac:dyDescent="0.35">
      <c r="E8" s="906" t="str">
        <f>"KEY PERFORMANCE INDICATORS BY TYPE OF VISITOR - COMPARING "&amp;FOCUSYEAR&amp;" &amp; "&amp;COMPARISONYEAR&amp;IF(REP.indexed="YES"," - INDEXED TO "&amp;FOCUSYEAR," - IN HISTORIC PRICES")</f>
        <v>KEY PERFORMANCE INDICATORS BY TYPE OF VISITOR - COMPARING 2022 &amp; 2021 - INDEXED TO 2022</v>
      </c>
      <c r="F8" s="907"/>
      <c r="G8" s="907"/>
      <c r="H8" s="907"/>
      <c r="I8" s="907"/>
      <c r="J8" s="907"/>
      <c r="K8" s="907"/>
      <c r="L8" s="907"/>
      <c r="M8" s="907"/>
      <c r="N8" s="907"/>
      <c r="O8" s="907"/>
      <c r="P8" s="907"/>
      <c r="Q8" s="907"/>
      <c r="R8" s="907"/>
      <c r="S8" s="907"/>
      <c r="T8" s="907"/>
      <c r="U8" s="907"/>
      <c r="V8" s="907"/>
      <c r="W8" s="907"/>
      <c r="X8" s="908"/>
      <c r="AA8" s="111">
        <f>COMPARISONYEAR</f>
        <v>2021</v>
      </c>
    </row>
    <row r="9" spans="1:27" s="125" customFormat="1" ht="16.2" customHeight="1" thickTop="1" thickBot="1" x14ac:dyDescent="0.35">
      <c r="E9" s="872" t="s">
        <v>90</v>
      </c>
      <c r="F9" s="873"/>
      <c r="G9" s="279"/>
      <c r="H9" s="280"/>
      <c r="I9" s="280"/>
      <c r="J9" s="280"/>
      <c r="K9" s="280"/>
      <c r="L9" s="280"/>
      <c r="M9" s="280"/>
      <c r="N9" s="280"/>
      <c r="O9" s="280"/>
      <c r="P9" s="915" t="s">
        <v>95</v>
      </c>
      <c r="Q9" s="915"/>
      <c r="R9" s="916"/>
      <c r="S9" s="919" t="s">
        <v>97</v>
      </c>
      <c r="T9" s="920"/>
      <c r="U9" s="921"/>
      <c r="V9" s="839" t="s">
        <v>96</v>
      </c>
      <c r="W9" s="840"/>
      <c r="X9" s="841"/>
    </row>
    <row r="10" spans="1:27" s="125" customFormat="1" ht="16.2" customHeight="1" thickTop="1" thickBot="1" x14ac:dyDescent="0.35">
      <c r="E10" s="845" t="str">
        <f>REP.highlightup</f>
        <v>An increase of 3% or more</v>
      </c>
      <c r="F10" s="846"/>
      <c r="G10" s="847" t="s">
        <v>112</v>
      </c>
      <c r="H10" s="848"/>
      <c r="I10" s="848"/>
      <c r="J10" s="848"/>
      <c r="K10" s="848"/>
      <c r="L10" s="849"/>
      <c r="M10" s="850" t="s">
        <v>139</v>
      </c>
      <c r="N10" s="851"/>
      <c r="O10" s="852"/>
      <c r="P10" s="915"/>
      <c r="Q10" s="915"/>
      <c r="R10" s="916"/>
      <c r="S10" s="919"/>
      <c r="T10" s="920"/>
      <c r="U10" s="921"/>
      <c r="V10" s="839"/>
      <c r="W10" s="840"/>
      <c r="X10" s="841"/>
    </row>
    <row r="11" spans="1:27" s="125" customFormat="1" ht="16.2" customHeight="1" thickTop="1" thickBot="1" x14ac:dyDescent="0.35">
      <c r="E11" s="856" t="str">
        <f>REP.highlightsame</f>
        <v>Less than 3% change</v>
      </c>
      <c r="F11" s="857"/>
      <c r="G11" s="858" t="s">
        <v>110</v>
      </c>
      <c r="H11" s="859"/>
      <c r="I11" s="860"/>
      <c r="J11" s="861" t="s">
        <v>111</v>
      </c>
      <c r="K11" s="862"/>
      <c r="L11" s="862"/>
      <c r="M11" s="853"/>
      <c r="N11" s="854"/>
      <c r="O11" s="855"/>
      <c r="P11" s="917"/>
      <c r="Q11" s="917"/>
      <c r="R11" s="918"/>
      <c r="S11" s="922"/>
      <c r="T11" s="923"/>
      <c r="U11" s="924"/>
      <c r="V11" s="842"/>
      <c r="W11" s="843"/>
      <c r="X11" s="844"/>
    </row>
    <row r="12" spans="1:27" ht="16.2" customHeight="1" thickTop="1" thickBot="1" x14ac:dyDescent="0.35">
      <c r="E12" s="837" t="str">
        <f>REP.highlightdown</f>
        <v>A Fall of 3% or more</v>
      </c>
      <c r="F12" s="838"/>
      <c r="G12" s="281">
        <f>FOCUSYEAR</f>
        <v>2022</v>
      </c>
      <c r="H12" s="282">
        <f>COMPARISONYEAR</f>
        <v>2021</v>
      </c>
      <c r="I12" s="283" t="s">
        <v>113</v>
      </c>
      <c r="J12" s="281">
        <f>FOCUSYEAR</f>
        <v>2022</v>
      </c>
      <c r="K12" s="282">
        <f>COMPARISONYEAR</f>
        <v>2021</v>
      </c>
      <c r="L12" s="283" t="s">
        <v>113</v>
      </c>
      <c r="M12" s="281">
        <f>FOCUSYEAR</f>
        <v>2022</v>
      </c>
      <c r="N12" s="282">
        <f>COMPARISONYEAR</f>
        <v>2021</v>
      </c>
      <c r="O12" s="283" t="s">
        <v>113</v>
      </c>
      <c r="P12" s="281">
        <f>FOCUSYEAR</f>
        <v>2022</v>
      </c>
      <c r="Q12" s="282">
        <f>COMPARISONYEAR</f>
        <v>2021</v>
      </c>
      <c r="R12" s="283" t="s">
        <v>113</v>
      </c>
      <c r="S12" s="281">
        <f>FOCUSYEAR</f>
        <v>2022</v>
      </c>
      <c r="T12" s="282">
        <f>COMPARISONYEAR</f>
        <v>2021</v>
      </c>
      <c r="U12" s="283" t="s">
        <v>113</v>
      </c>
      <c r="V12" s="281">
        <f>FOCUSYEAR</f>
        <v>2022</v>
      </c>
      <c r="W12" s="282">
        <f>COMPARISONYEAR</f>
        <v>2021</v>
      </c>
      <c r="X12" s="283" t="s">
        <v>113</v>
      </c>
    </row>
    <row r="13" spans="1:27" ht="16.2" customHeight="1" thickTop="1" thickBot="1" x14ac:dyDescent="0.35">
      <c r="E13" s="284" t="s">
        <v>171</v>
      </c>
      <c r="F13" s="194" t="str">
        <f>$C$4</f>
        <v>M</v>
      </c>
      <c r="G13" s="655">
        <f>IFERROR(INDEX(DATA!$T:$T,MATCH(FOCUSYEAR&amp;"."&amp;$E13&amp;"."&amp;G$68,REP.lookup,0))/$B$2,"")</f>
        <v>1.8523347970701669</v>
      </c>
      <c r="H13" s="656">
        <f>IFERROR(INDEX(DATA!$T:$T,MATCH(COMPARISONYEAR&amp;"."&amp;$E13&amp;"."&amp;H$68,REP.lookup,0))/$B$2,"")</f>
        <v>1.1623714086800916</v>
      </c>
      <c r="I13" s="195">
        <f>IFERROR(G13/H13-1,"")</f>
        <v>0.59358255307875285</v>
      </c>
      <c r="J13" s="655">
        <f>IFERROR(INDEX(DATA!$T:$T,MATCH(FOCUSYEAR&amp;"."&amp;$E13&amp;"."&amp;J$68,REP.lookup,0))/$B$2,"")</f>
        <v>8.7841298175617624</v>
      </c>
      <c r="K13" s="656">
        <f>IFERROR(INDEX(DATA!$T:$T,MATCH(COMPARISONYEAR&amp;"."&amp;$E13&amp;"."&amp;K$68,REP.lookup,0))/$B$2,"")</f>
        <v>6.3028277712128222</v>
      </c>
      <c r="L13" s="195">
        <f>IFERROR(J13/K13-1,"")</f>
        <v>0.39368076305081634</v>
      </c>
      <c r="M13" s="655">
        <f>IFERROR(INDEX(DATA!$T:$T,MATCH(FOCUSYEAR&amp;"."&amp;$E13&amp;"."&amp;M$68,REP.lookup,0))/$B$2,"")</f>
        <v>0.42221034247636358</v>
      </c>
      <c r="N13" s="656">
        <f>IFERROR(INDEX(DATA!$T:$T,MATCH(COMPARISONYEAR&amp;"."&amp;$E13&amp;"."&amp;N$68,REP.lookup,0))/$B$2,"")</f>
        <v>0.11268946468</v>
      </c>
      <c r="O13" s="195">
        <f>IFERROR(M13/N13-1,"")</f>
        <v>2.746670939251493</v>
      </c>
      <c r="P13" s="655">
        <f>IFERROR(INDEX(DATA!$T:$T,MATCH(FOCUSYEAR&amp;"."&amp;$E13&amp;"."&amp;"Staying Visitor",REP.lookup,0))/$B$2,"")</f>
        <v>11.058674957108293</v>
      </c>
      <c r="Q13" s="656">
        <f>IFERROR(INDEX(DATA!$T:$T,MATCH(COMPARISONYEAR&amp;"."&amp;$E13&amp;"."&amp;"Staying Visitor",REP.lookup,0))/$B$2,"")</f>
        <v>7.5778886445729139</v>
      </c>
      <c r="R13" s="195">
        <f>IFERROR(P13/Q13-1,"")</f>
        <v>0.45933458193902421</v>
      </c>
      <c r="S13" s="655">
        <f>IFERROR(INDEX(DATA!$T:$T,MATCH(FOCUSYEAR&amp;"."&amp;$E13&amp;"."&amp;S$68,REP.lookup,0))/$B$2,"")</f>
        <v>6.8992426056732334</v>
      </c>
      <c r="T13" s="656">
        <f>IFERROR(INDEX(DATA!$T:$T,MATCH(COMPARISONYEAR&amp;"."&amp;$E13&amp;"."&amp;T$68,REP.lookup,0))/$B$2,"")</f>
        <v>6.2631116716577102</v>
      </c>
      <c r="U13" s="195">
        <f>IFERROR(S13/T13-1,"")</f>
        <v>0.1015678735051444</v>
      </c>
      <c r="V13" s="655">
        <f>IFERROR(INDEX(DATA!$T:$T,MATCH(FOCUSYEAR&amp;"."&amp;$E13&amp;"."&amp;V$68,REP.lookup,0))/$B$2,"")</f>
        <v>17.957917562781528</v>
      </c>
      <c r="W13" s="656">
        <f>IFERROR(INDEX(DATA!$T:$T,MATCH(COMPARISONYEAR&amp;"."&amp;$E13&amp;"."&amp;W$68,REP.lookup,0))/$B$2,"")</f>
        <v>13.841000316230623</v>
      </c>
      <c r="X13" s="195">
        <f>IFERROR(V13/W13-1,"")</f>
        <v>0.29744362058305929</v>
      </c>
    </row>
    <row r="14" spans="1:27" ht="16.2" customHeight="1" thickTop="1" thickBot="1" x14ac:dyDescent="0.35">
      <c r="E14" s="285" t="s">
        <v>172</v>
      </c>
      <c r="F14" s="194" t="str">
        <f>$B$4</f>
        <v>M</v>
      </c>
      <c r="G14" s="655">
        <f>IFERROR(INDEX(DATA!$T:$T,MATCH(FOCUSYEAR&amp;"."&amp;$E14&amp;"."&amp;G$68,REP.lookup,0))/$B$2,"")</f>
        <v>1.0404567309806492</v>
      </c>
      <c r="H14" s="656">
        <f>IFERROR(INDEX(DATA!$T:$T,MATCH(COMPARISONYEAR&amp;"."&amp;$E14&amp;"."&amp;H$68,REP.lookup,0))/$B$2,"")</f>
        <v>0.64910137653168676</v>
      </c>
      <c r="I14" s="195">
        <f>IFERROR(G14/H14-1,"")</f>
        <v>0.60291869436492851</v>
      </c>
      <c r="J14" s="655">
        <f>IFERROR(INDEX(DATA!$T:$T,MATCH(FOCUSYEAR&amp;"."&amp;$E14&amp;"."&amp;J$68,REP.lookup,0))/$B$2,"")</f>
        <v>1.3550531698445911</v>
      </c>
      <c r="K14" s="656">
        <f>IFERROR(INDEX(DATA!$T:$T,MATCH(COMPARISONYEAR&amp;"."&amp;$E14&amp;"."&amp;K$68,REP.lookup,0))/$B$2,"")</f>
        <v>0.91677505515300606</v>
      </c>
      <c r="L14" s="195">
        <f>IFERROR(J14/K14-1,"")</f>
        <v>0.47806505230275742</v>
      </c>
      <c r="M14" s="655">
        <f>IFERROR(INDEX(DATA!$T:$T,MATCH(FOCUSYEAR&amp;"."&amp;$E14&amp;"."&amp;M$68,REP.lookup,0))/$B$2,"")</f>
        <v>0.17734662654545452</v>
      </c>
      <c r="N14" s="656">
        <f>IFERROR(INDEX(DATA!$T:$T,MATCH(COMPARISONYEAR&amp;"."&amp;$E14&amp;"."&amp;N$68,REP.lookup,0))/$B$2,"")</f>
        <v>4.7115663199999998E-2</v>
      </c>
      <c r="O14" s="195">
        <f>IFERROR(M14/N14-1,"")</f>
        <v>2.7640694092034881</v>
      </c>
      <c r="P14" s="655">
        <f>IFERROR(INDEX(DATA!$T:$T,MATCH(FOCUSYEAR&amp;"."&amp;$E14&amp;"."&amp;"Staying Visitor",REP.lookup,0))/$B$2,"")</f>
        <v>2.5728565273706945</v>
      </c>
      <c r="Q14" s="656">
        <f>IFERROR(INDEX(DATA!$T:$T,MATCH(COMPARISONYEAR&amp;"."&amp;$E14&amp;"."&amp;"Staying Visitor",REP.lookup,0))/$B$2,"")</f>
        <v>1.6129920948846928</v>
      </c>
      <c r="R14" s="195">
        <f>IFERROR(P14/Q14-1,"")</f>
        <v>0.59508315975635284</v>
      </c>
      <c r="S14" s="655">
        <f>IFERROR(INDEX(DATA!$T:$T,MATCH(FOCUSYEAR&amp;"."&amp;$E14&amp;"."&amp;S$68,REP.lookup,0))/$B$2,"")</f>
        <v>6.8992426056732334</v>
      </c>
      <c r="T14" s="656">
        <f>IFERROR(INDEX(DATA!$T:$T,MATCH(COMPARISONYEAR&amp;"."&amp;$E14&amp;"."&amp;T$68,REP.lookup,0))/$B$2,"")</f>
        <v>6.2631116716577102</v>
      </c>
      <c r="U14" s="195">
        <f>IFERROR(S14/T14-1,"")</f>
        <v>0.1015678735051444</v>
      </c>
      <c r="V14" s="655">
        <f>IFERROR(INDEX(DATA!$T:$T,MATCH(FOCUSYEAR&amp;"."&amp;$E14&amp;"."&amp;V$68,REP.lookup,0))/$B$2,"")</f>
        <v>9.4720991330439297</v>
      </c>
      <c r="W14" s="656">
        <f>IFERROR(INDEX(DATA!$T:$T,MATCH(COMPARISONYEAR&amp;"."&amp;$E14&amp;"."&amp;W$68,REP.lookup,0))/$B$2,"")</f>
        <v>7.8761037665424007</v>
      </c>
      <c r="X14" s="195">
        <f>IFERROR(V14/W14-1,"")</f>
        <v>0.20263767642083375</v>
      </c>
    </row>
    <row r="15" spans="1:27" ht="16.2" customHeight="1" thickTop="1" thickBot="1" x14ac:dyDescent="0.35">
      <c r="E15" s="286" t="s">
        <v>44</v>
      </c>
      <c r="F15" s="194" t="str">
        <f>$A$4</f>
        <v>£Bn</v>
      </c>
      <c r="G15" s="287"/>
      <c r="H15" s="288"/>
      <c r="I15" s="289"/>
      <c r="J15" s="287"/>
      <c r="K15" s="288"/>
      <c r="L15" s="289"/>
      <c r="M15" s="287"/>
      <c r="N15" s="288"/>
      <c r="O15" s="289"/>
      <c r="P15" s="288"/>
      <c r="Q15" s="288"/>
      <c r="R15" s="289"/>
      <c r="S15" s="288"/>
      <c r="T15" s="288"/>
      <c r="U15" s="290"/>
      <c r="V15" s="655">
        <f>IFERROR(INDEX(DATA!$T:$T,MATCH(FOCUSYEAR&amp;".Economic Impact."&amp;$E15,REP.lookup,0))/$A$2,"")</f>
        <v>0.82192603983875667</v>
      </c>
      <c r="W15" s="656">
        <f>IFERROR(INDEX(DATA!$T:$T,MATCH(COMPARISONYEAR&amp;".Economic Impact."&amp;$E15,REP.lookup,0))*INDEX(REP.indexationtoFOCUSYEAR,MATCH(VALUE(COMPARISONYEAR),REP.yearsrange))/$A$2,"")</f>
        <v>0.59489236105331722</v>
      </c>
      <c r="X15" s="195">
        <f t="shared" ref="X15:X18" si="0">IFERROR(V15/W15-1,"")</f>
        <v>0.38163824861266216</v>
      </c>
    </row>
    <row r="16" spans="1:27" ht="16.2" customHeight="1" thickTop="1" thickBot="1" x14ac:dyDescent="0.35">
      <c r="E16" s="221" t="s">
        <v>17</v>
      </c>
      <c r="F16" s="194" t="str">
        <f>$A$4</f>
        <v>£Bn</v>
      </c>
      <c r="G16" s="655">
        <f>IFERROR(INDEX(DATA!$T:$T,MATCH(FOCUSYEAR&amp;"."&amp;$E16&amp;"."&amp;G$68,REP.lookup,0))/$A$2,"")</f>
        <v>0.22124619363195536</v>
      </c>
      <c r="H16" s="656">
        <f>IFERROR(INDEX(DATA!$T:$T,MATCH(COMPARISONYEAR&amp;"."&amp;$E16&amp;"."&amp;H$68,REP.lookup,0))*INDEX(REP.indexationtoFOCUSYEAR,MATCH(VALUE(COMPARISONYEAR),REP.yearsrange))/$A$2,"")</f>
        <v>0.14474410220241049</v>
      </c>
      <c r="I16" s="195">
        <f>IFERROR(G16/H16-1,"")</f>
        <v>0.52853339283257394</v>
      </c>
      <c r="J16" s="655">
        <f>IFERROR(INDEX(DATA!$T:$T,MATCH(FOCUSYEAR&amp;"."&amp;$E16&amp;"."&amp;J$68,REP.lookup,0))/$A$2,"")</f>
        <v>0.48228090887302771</v>
      </c>
      <c r="K16" s="656">
        <f>IFERROR(INDEX(DATA!$T:$T,MATCH(COMPARISONYEAR&amp;"."&amp;$E16&amp;"."&amp;K$68,REP.lookup,0))*INDEX(REP.indexationtoFOCUSYEAR,MATCH(VALUE(COMPARISONYEAR),REP.yearsrange))/$A$2,"")</f>
        <v>0.37988785238867068</v>
      </c>
      <c r="L16" s="195">
        <f>IFERROR(J16/K16-1,"")</f>
        <v>0.26953495838449903</v>
      </c>
      <c r="M16" s="655">
        <f>IFERROR(INDEX(DATA!$T:$T,MATCH(FOCUSYEAR&amp;"."&amp;$E16&amp;"."&amp;M$68,REP.lookup,0))/$A$2,"")</f>
        <v>1.6610160440886444E-2</v>
      </c>
      <c r="N16" s="656">
        <f>IFERROR(INDEX(DATA!$T:$T,MATCH(COMPARISONYEAR&amp;"."&amp;$E16&amp;"."&amp;N$68,REP.lookup,0))*INDEX(REP.indexationtoFOCUSYEAR,MATCH(VALUE(COMPARISONYEAR),REP.yearsrange))/$A$2,"")</f>
        <v>4.4335128357886073E-3</v>
      </c>
      <c r="O16" s="195">
        <f>IFERROR(M16/N16-1,"")</f>
        <v>2.7465010379138612</v>
      </c>
      <c r="P16" s="655">
        <f>IFERROR(INDEX(DATA!$T:$T,MATCH(FOCUSYEAR&amp;"."&amp;$E16&amp;"."&amp;"Staying Visitor",REP.lookup,0))/$A$2,"")</f>
        <v>0.72013726294586944</v>
      </c>
      <c r="Q16" s="656">
        <f>IFERROR(INDEX(DATA!$T:$T,MATCH(COMPARISONYEAR&amp;"."&amp;$E16&amp;"."&amp;"Staying Visitor",REP.lookup,0))*INDEX(REP.indexationtoFOCUSYEAR,MATCH(VALUE(COMPARISONYEAR),REP.yearsrange))/$A$2,"")</f>
        <v>0.52906546742686977</v>
      </c>
      <c r="R16" s="195">
        <f>IFERROR(P16/Q16-1,"")</f>
        <v>0.36114962567540965</v>
      </c>
      <c r="S16" s="655">
        <f>IFERROR(INDEX(DATA!$T:$T,MATCH(FOCUSYEAR&amp;"."&amp;$E16&amp;"."&amp;S$68,REP.lookup,0))/$A$2,"")</f>
        <v>0.37761727870548256</v>
      </c>
      <c r="T16" s="656">
        <f>IFERROR(INDEX(DATA!$T:$T,MATCH(COMPARISONYEAR&amp;"."&amp;$E16&amp;"."&amp;T$68,REP.lookup,0))*INDEX(REP.indexationtoFOCUSYEAR,MATCH(VALUE(COMPARISONYEAR),REP.yearsrange))/$A$2,"")</f>
        <v>0.26844829583676455</v>
      </c>
      <c r="U16" s="195">
        <f>IFERROR(S16/T16-1,"")</f>
        <v>0.40666670104361713</v>
      </c>
      <c r="V16" s="655">
        <f>IFERROR(INDEX(DATA!$T:$T,MATCH(FOCUSYEAR&amp;"."&amp;$E16&amp;"."&amp;V$68,REP.lookup,0))/$A$2,"")</f>
        <v>1.0977545416513521</v>
      </c>
      <c r="W16" s="656">
        <f>IFERROR(INDEX(DATA!$T:$T,MATCH(COMPARISONYEAR&amp;"."&amp;$E16&amp;"."&amp;W$68,REP.lookup,0))*INDEX(REP.indexationtoFOCUSYEAR,MATCH(VALUE(COMPARISONYEAR),REP.yearsrange))/$A$2,"")</f>
        <v>0.79751376326363466</v>
      </c>
      <c r="X16" s="195">
        <f>IFERROR(V16/W16-1,"")</f>
        <v>0.37647096792292811</v>
      </c>
    </row>
    <row r="17" spans="5:24" ht="16.2" customHeight="1" thickTop="1" thickBot="1" x14ac:dyDescent="0.35">
      <c r="E17" s="294" t="s">
        <v>55</v>
      </c>
      <c r="F17" s="194" t="s">
        <v>59</v>
      </c>
      <c r="G17" s="292">
        <f>IFERROR(INDEX(DATA!$T:$T,MATCH(FOCUSYEAR&amp;".Employment."&amp;G$68,REP.lookup,0)),"")</f>
        <v>2432.3706615409842</v>
      </c>
      <c r="H17" s="293">
        <f>IFERROR(INDEX(DATA!$T:$T,MATCH(COMPARISONYEAR&amp;".Employment."&amp;H$68,REP.lookup,0)),"")</f>
        <v>1557.1073169789961</v>
      </c>
      <c r="I17" s="195">
        <f>IFERROR(G17/H17-1,"")</f>
        <v>0.56210855540780602</v>
      </c>
      <c r="J17" s="292">
        <f>IFERROR(INDEX(DATA!$T:$T,MATCH(FOCUSYEAR&amp;".Employment."&amp;J$68,REP.lookup,0)),"")</f>
        <v>4121.9593861525655</v>
      </c>
      <c r="K17" s="293">
        <f>IFERROR(INDEX(DATA!$T:$T,MATCH(COMPARISONYEAR&amp;".Employment."&amp;K$68,REP.lookup,0)),"")</f>
        <v>3278.6364512836894</v>
      </c>
      <c r="L17" s="195">
        <f>IFERROR(J17/K17-1,"")</f>
        <v>0.2572175803568244</v>
      </c>
      <c r="M17" s="292">
        <f>IFERROR(INDEX(DATA!$T:$T,MATCH(FOCUSYEAR&amp;".Employment."&amp;M$68,REP.lookup,0)),"")</f>
        <v>135.27975653358567</v>
      </c>
      <c r="N17" s="293">
        <f>IFERROR(INDEX(DATA!$T:$T,MATCH(COMPARISONYEAR&amp;".Employment."&amp;N$68,REP.lookup,0)),"")</f>
        <v>38.098727385978144</v>
      </c>
      <c r="O17" s="195">
        <f>IFERROR(M17/N17-1,"")</f>
        <v>2.5507683803468466</v>
      </c>
      <c r="P17" s="292">
        <f>IFERROR(INDEX(DATA!$T:$T,MATCH(FOCUSYEAR&amp;".Employment."&amp;"Staying Visitor",REP.lookup,0)),"")</f>
        <v>6689.6098042271351</v>
      </c>
      <c r="Q17" s="293">
        <f>IFERROR(INDEX(DATA!$T:$T,MATCH(COMPARISONYEAR&amp;".Employment."&amp;"Staying Visitor",REP.lookup,0)),"")</f>
        <v>4873.8424956486642</v>
      </c>
      <c r="R17" s="195">
        <f>IFERROR(P17/Q17-1,"")</f>
        <v>0.37255354685744901</v>
      </c>
      <c r="S17" s="292">
        <f>IFERROR(INDEX(DATA!$T:$T,MATCH(FOCUSYEAR&amp;".Employment."&amp;S$68,REP.lookup,0)),"")</f>
        <v>2830.963844487685</v>
      </c>
      <c r="T17" s="293">
        <f>IFERROR(INDEX(DATA!$T:$T,MATCH(COMPARISONYEAR&amp;".Employment."&amp;T$68,REP.lookup,0)),"")</f>
        <v>2088.7154777552109</v>
      </c>
      <c r="U17" s="195">
        <f>IFERROR(S17/T17-1,"")</f>
        <v>0.35536116557635933</v>
      </c>
      <c r="V17" s="292">
        <f>SUM(P17,S17)</f>
        <v>9520.5736487148206</v>
      </c>
      <c r="W17" s="293">
        <f>SUM(Q17,T17)</f>
        <v>6962.5579734038747</v>
      </c>
      <c r="X17" s="195">
        <f>IFERROR(V17/W17-1,"")</f>
        <v>0.36739596066305724</v>
      </c>
    </row>
    <row r="18" spans="5:24" ht="16.2" customHeight="1" thickTop="1" thickBot="1" x14ac:dyDescent="0.35">
      <c r="E18" s="291" t="s">
        <v>74</v>
      </c>
      <c r="F18" s="194" t="s">
        <v>59</v>
      </c>
      <c r="G18" s="287"/>
      <c r="H18" s="288"/>
      <c r="I18" s="289"/>
      <c r="J18" s="288"/>
      <c r="K18" s="288"/>
      <c r="L18" s="289"/>
      <c r="M18" s="288"/>
      <c r="N18" s="288"/>
      <c r="O18" s="289"/>
      <c r="P18" s="288"/>
      <c r="Q18" s="288"/>
      <c r="R18" s="289"/>
      <c r="S18" s="288"/>
      <c r="T18" s="288"/>
      <c r="U18" s="290"/>
      <c r="V18" s="292">
        <f>IFERROR(INDEX(DATA!$T:$T,MATCH(FOCUSYEAR&amp;".Employment."&amp;V$68,REP.lookup,0)),"")</f>
        <v>11871.357240241756</v>
      </c>
      <c r="W18" s="293">
        <f>IFERROR(INDEX(DATA!$T:$T,MATCH(COMPARISONYEAR&amp;".Employment."&amp;W$68,REP.lookup,0)),"")</f>
        <v>8782.8931356346147</v>
      </c>
      <c r="X18" s="195">
        <f t="shared" si="0"/>
        <v>0.35164541534456251</v>
      </c>
    </row>
    <row r="19" spans="5:24" ht="16.2" customHeight="1" thickTop="1" thickBot="1" x14ac:dyDescent="0.35">
      <c r="E19" s="906" t="str">
        <f>"PERCENTAGE CHANGE BY VISITOR TYPE AND PERFORMANCE MEASURE - COMPARING "&amp;FOCUSYEAR&amp;" &amp; "&amp;COMPARISONYEAR&amp;IF(REP.indexed="YES"," - INDEXED TO "&amp;FOCUSYEAR," - IN HISTORIC PRICES")</f>
        <v>PERCENTAGE CHANGE BY VISITOR TYPE AND PERFORMANCE MEASURE - COMPARING 2022 &amp; 2021 - INDEXED TO 2022</v>
      </c>
      <c r="F19" s="907"/>
      <c r="G19" s="907"/>
      <c r="H19" s="907"/>
      <c r="I19" s="907"/>
      <c r="J19" s="907"/>
      <c r="K19" s="907"/>
      <c r="L19" s="907"/>
      <c r="M19" s="907"/>
      <c r="N19" s="907"/>
      <c r="O19" s="907"/>
      <c r="P19" s="907"/>
      <c r="Q19" s="907"/>
      <c r="R19" s="907"/>
      <c r="S19" s="907"/>
      <c r="T19" s="907"/>
      <c r="U19" s="907"/>
      <c r="V19" s="907"/>
      <c r="W19" s="907"/>
      <c r="X19" s="908"/>
    </row>
    <row r="20" spans="5:24" ht="16.2" customHeight="1" thickTop="1" thickBot="1" x14ac:dyDescent="0.35">
      <c r="E20" s="872" t="s">
        <v>90</v>
      </c>
      <c r="F20" s="873"/>
      <c r="G20" s="874" t="s">
        <v>110</v>
      </c>
      <c r="H20" s="874"/>
      <c r="I20" s="874"/>
      <c r="J20" s="875" t="s">
        <v>111</v>
      </c>
      <c r="K20" s="875"/>
      <c r="L20" s="875"/>
      <c r="M20" s="876" t="s">
        <v>18</v>
      </c>
      <c r="N20" s="876"/>
      <c r="O20" s="876"/>
      <c r="P20" s="877" t="s">
        <v>95</v>
      </c>
      <c r="Q20" s="877"/>
      <c r="R20" s="877"/>
      <c r="S20" s="878" t="s">
        <v>97</v>
      </c>
      <c r="T20" s="878"/>
      <c r="U20" s="878"/>
      <c r="V20" s="879" t="s">
        <v>96</v>
      </c>
      <c r="W20" s="879"/>
      <c r="X20" s="879"/>
    </row>
    <row r="21" spans="5:24" ht="24" customHeight="1" thickTop="1" thickBot="1" x14ac:dyDescent="0.35">
      <c r="E21" s="880" t="s">
        <v>171</v>
      </c>
      <c r="F21" s="881"/>
      <c r="G21" s="295"/>
      <c r="H21" s="296"/>
      <c r="I21" s="297"/>
      <c r="J21" s="295"/>
      <c r="K21" s="296"/>
      <c r="L21" s="297"/>
      <c r="M21" s="295"/>
      <c r="N21" s="296"/>
      <c r="O21" s="297"/>
      <c r="P21" s="295"/>
      <c r="Q21" s="296"/>
      <c r="R21" s="296"/>
      <c r="S21" s="295"/>
      <c r="T21" s="296"/>
      <c r="U21" s="297"/>
      <c r="V21" s="296"/>
      <c r="W21" s="296"/>
      <c r="X21" s="297"/>
    </row>
    <row r="22" spans="5:24" ht="24" customHeight="1" thickTop="1" thickBot="1" x14ac:dyDescent="0.35">
      <c r="E22" s="882" t="s">
        <v>172</v>
      </c>
      <c r="F22" s="883"/>
      <c r="G22" s="298"/>
      <c r="H22" s="182"/>
      <c r="I22" s="299"/>
      <c r="J22" s="298"/>
      <c r="K22" s="182"/>
      <c r="L22" s="299"/>
      <c r="M22" s="298"/>
      <c r="N22" s="182"/>
      <c r="O22" s="299"/>
      <c r="P22" s="298"/>
      <c r="Q22" s="182"/>
      <c r="R22" s="182"/>
      <c r="S22" s="298"/>
      <c r="T22" s="182"/>
      <c r="U22" s="299"/>
      <c r="V22" s="182"/>
      <c r="W22" s="182"/>
      <c r="X22" s="299"/>
    </row>
    <row r="23" spans="5:24" ht="24" customHeight="1" thickTop="1" thickBot="1" x14ac:dyDescent="0.35">
      <c r="E23" s="884" t="s">
        <v>75</v>
      </c>
      <c r="F23" s="885"/>
      <c r="G23" s="298"/>
      <c r="H23" s="182"/>
      <c r="I23" s="299"/>
      <c r="J23" s="298"/>
      <c r="K23" s="182"/>
      <c r="L23" s="299"/>
      <c r="M23" s="298"/>
      <c r="N23" s="182"/>
      <c r="O23" s="299"/>
      <c r="P23" s="298"/>
      <c r="Q23" s="182"/>
      <c r="R23" s="182"/>
      <c r="S23" s="298"/>
      <c r="T23" s="182"/>
      <c r="U23" s="299"/>
      <c r="V23" s="182"/>
      <c r="W23" s="182"/>
      <c r="X23" s="299"/>
    </row>
    <row r="24" spans="5:24" ht="24" customHeight="1" thickTop="1" thickBot="1" x14ac:dyDescent="0.35">
      <c r="E24" s="886" t="s">
        <v>55</v>
      </c>
      <c r="F24" s="887"/>
      <c r="G24" s="300"/>
      <c r="H24" s="183"/>
      <c r="I24" s="301"/>
      <c r="J24" s="300"/>
      <c r="K24" s="183"/>
      <c r="L24" s="301"/>
      <c r="M24" s="300"/>
      <c r="N24" s="183"/>
      <c r="O24" s="301"/>
      <c r="P24" s="300"/>
      <c r="Q24" s="183"/>
      <c r="R24" s="183"/>
      <c r="S24" s="300"/>
      <c r="T24" s="183"/>
      <c r="U24" s="301"/>
      <c r="V24" s="183"/>
      <c r="W24" s="183"/>
      <c r="X24" s="301"/>
    </row>
    <row r="25" spans="5:24" ht="16.2" customHeight="1" thickTop="1" thickBot="1" x14ac:dyDescent="0.35">
      <c r="E25" s="863" t="str">
        <f>"Sectoral Distribution of Economic Impact - "&amp;$F$16&amp;" including VAT "&amp;IF(REP.indexed="YES","Indexed to "&amp;FOCUSYEAR,"in Historic Prices ")</f>
        <v>Sectoral Distribution of Economic Impact - £Bn including VAT Indexed to 2022</v>
      </c>
      <c r="F25" s="864"/>
      <c r="G25" s="864"/>
      <c r="H25" s="864"/>
      <c r="I25" s="864"/>
      <c r="J25" s="864"/>
      <c r="K25" s="864"/>
      <c r="L25" s="865"/>
      <c r="M25" s="866" t="s">
        <v>114</v>
      </c>
      <c r="N25" s="866"/>
      <c r="O25" s="866"/>
      <c r="P25" s="869" t="s">
        <v>138</v>
      </c>
      <c r="Q25" s="870"/>
      <c r="R25" s="870"/>
      <c r="S25" s="870"/>
      <c r="T25" s="870"/>
      <c r="U25" s="870"/>
      <c r="V25" s="870"/>
      <c r="W25" s="870"/>
      <c r="X25" s="871"/>
    </row>
    <row r="26" spans="5:24" ht="16.2" customHeight="1" thickTop="1" thickBot="1" x14ac:dyDescent="0.35">
      <c r="E26" s="298"/>
      <c r="F26" s="182"/>
      <c r="G26" s="182"/>
      <c r="H26" s="182"/>
      <c r="I26" s="182"/>
      <c r="J26" s="281">
        <f>FOCUSYEAR</f>
        <v>2022</v>
      </c>
      <c r="K26" s="282">
        <f>COMPARISONYEAR</f>
        <v>2021</v>
      </c>
      <c r="L26" s="302" t="s">
        <v>113</v>
      </c>
      <c r="M26" s="867"/>
      <c r="N26" s="866"/>
      <c r="O26" s="868"/>
      <c r="P26" s="281">
        <f>FOCUSYEAR</f>
        <v>2022</v>
      </c>
      <c r="Q26" s="282">
        <f>COMPARISONYEAR</f>
        <v>2021</v>
      </c>
      <c r="R26" s="303" t="s">
        <v>113</v>
      </c>
      <c r="S26" s="182"/>
      <c r="T26" s="182"/>
      <c r="U26" s="182"/>
      <c r="V26" s="182"/>
      <c r="W26" s="182"/>
      <c r="X26" s="299"/>
    </row>
    <row r="27" spans="5:24" ht="16.2" customHeight="1" thickTop="1" thickBot="1" x14ac:dyDescent="0.35">
      <c r="E27" s="298"/>
      <c r="F27" s="182"/>
      <c r="G27" s="182"/>
      <c r="H27" s="182"/>
      <c r="I27" s="182"/>
      <c r="J27" s="655">
        <f>VLOOKUP(FOCUSYEAR&amp;".Economic Impact."&amp;$M27,REP.data,18,FALSE)*(1+VLOOKUP(FOCUSYEAR&amp;".economic impact."&amp;"VAT",REP.data,18,FALSE)/VLOOKUP(FOCUSYEAR&amp;".economic impact."&amp;"DIRECT REVENUE",REP.data,18,FALSE))*IF(REP.indexed="YES",INDEX(REP.indexationtoFOCUSYEAR,FOCUSYEAR.no),1)/$A$2</f>
        <v>0.20427430069863528</v>
      </c>
      <c r="K27" s="656">
        <f>VLOOKUP(COMPARISONYEAR&amp;".Economic Impact."&amp;$M27,REP.data,18,FALSE)*(1+VLOOKUP(COMPARISONYEAR&amp;".economic impact."&amp;"VAT",REP.data,18,FALSE)/VLOOKUP(COMPARISONYEAR&amp;".economic impact."&amp;"DIRECT REVENUE",REP.data,18,FALSE))*INDEX(REP.indexationtoFOCUSYEAR,MATCH(VALUE(COMPARISONYEAR),REP.yearsrange))/$A$2</f>
        <v>0.16880411250365271</v>
      </c>
      <c r="L27" s="195">
        <f>IFERROR(J27/K27-1,"")</f>
        <v>0.21012632730861358</v>
      </c>
      <c r="M27" s="900" t="s">
        <v>23</v>
      </c>
      <c r="N27" s="901"/>
      <c r="O27" s="902"/>
      <c r="P27" s="292">
        <f>VLOOKUP(FOCUSYEAR&amp;".Employment."&amp;$M27,REP.data,18,FALSE)</f>
        <v>3123.9368999560652</v>
      </c>
      <c r="Q27" s="293">
        <f>VLOOKUP(COMPARISONYEAR&amp;".Employment."&amp;$M27,REP.data,18,FALSE)</f>
        <v>2217.4685799002837</v>
      </c>
      <c r="R27" s="195">
        <f>IFERROR(P27/Q27-1,"")</f>
        <v>0.40878519239111122</v>
      </c>
      <c r="S27" s="182"/>
      <c r="T27" s="182"/>
      <c r="U27" s="182"/>
      <c r="V27" s="182"/>
      <c r="W27" s="182"/>
      <c r="X27" s="299"/>
    </row>
    <row r="28" spans="5:24" ht="16.2" customHeight="1" thickTop="1" thickBot="1" x14ac:dyDescent="0.35">
      <c r="E28" s="298"/>
      <c r="F28" s="182"/>
      <c r="G28" s="182"/>
      <c r="H28" s="182"/>
      <c r="I28" s="182"/>
      <c r="J28" s="655">
        <f>VLOOKUP(FOCUSYEAR&amp;".Economic Impact."&amp;$M28,REP.data,18,FALSE)*(1+VLOOKUP(FOCUSYEAR&amp;".economic impact."&amp;"VAT",REP.data,18,FALSE)/VLOOKUP(FOCUSYEAR&amp;".economic impact."&amp;"DIRECT REVENUE",REP.data,18,FALSE))*IF(REP.indexed="YES",INDEX(REP.indexationtoFOCUSYEAR,FOCUSYEAR.no),1)/$A$2</f>
        <v>0.18600286575345643</v>
      </c>
      <c r="K28" s="656">
        <f>VLOOKUP(COMPARISONYEAR&amp;".Economic Impact."&amp;$M28,REP.data,18,FALSE)*(1+VLOOKUP(COMPARISONYEAR&amp;".economic impact."&amp;"VAT",REP.data,18,FALSE)/VLOOKUP(COMPARISONYEAR&amp;".economic impact."&amp;"DIRECT REVENUE",REP.data,18,FALSE))*INDEX(REP.indexationtoFOCUSYEAR,MATCH(VALUE(COMPARISONYEAR),REP.yearsrange))/$A$2</f>
        <v>0.1326022288534548</v>
      </c>
      <c r="L28" s="195">
        <f t="shared" ref="L28:L34" si="1">IFERROR(J28/K28-1,"")</f>
        <v>0.40271296615245644</v>
      </c>
      <c r="M28" s="900" t="s">
        <v>49</v>
      </c>
      <c r="N28" s="901"/>
      <c r="O28" s="902"/>
      <c r="P28" s="292">
        <f>VLOOKUP(FOCUSYEAR&amp;".Employment."&amp;$M28,REP.data,18,FALSE)</f>
        <v>2444.5791659002152</v>
      </c>
      <c r="Q28" s="293">
        <f>VLOOKUP(COMPARISONYEAR&amp;".Employment."&amp;$M28,REP.data,18,FALSE)</f>
        <v>1947.2767174546696</v>
      </c>
      <c r="R28" s="195">
        <f t="shared" ref="R28:R34" si="2">IFERROR(P28/Q28-1,"")</f>
        <v>0.25538355385647571</v>
      </c>
      <c r="S28" s="182"/>
      <c r="T28" s="182"/>
      <c r="U28" s="182"/>
      <c r="V28" s="182"/>
      <c r="W28" s="182"/>
      <c r="X28" s="299"/>
    </row>
    <row r="29" spans="5:24" ht="16.2" customHeight="1" thickTop="1" thickBot="1" x14ac:dyDescent="0.35">
      <c r="E29" s="298"/>
      <c r="F29" s="182"/>
      <c r="G29" s="182"/>
      <c r="H29" s="182"/>
      <c r="I29" s="182"/>
      <c r="J29" s="655">
        <f>VLOOKUP(FOCUSYEAR&amp;".Economic Impact."&amp;$M29,REP.data,18,FALSE)*(1+VLOOKUP(FOCUSYEAR&amp;".economic impact."&amp;"VAT",REP.data,18,FALSE)/VLOOKUP(FOCUSYEAR&amp;".economic impact."&amp;"DIRECT REVENUE",REP.data,18,FALSE))*IF(REP.indexed="YES",INDEX(REP.indexationtoFOCUSYEAR,FOCUSYEAR.no),1)/$A$2</f>
        <v>5.8853010838728355E-2</v>
      </c>
      <c r="K29" s="656">
        <f>VLOOKUP(COMPARISONYEAR&amp;".Economic Impact."&amp;$M29,REP.data,18,FALSE)*(1+VLOOKUP(COMPARISONYEAR&amp;".economic impact."&amp;"VAT",REP.data,18,FALSE)/VLOOKUP(COMPARISONYEAR&amp;".economic impact."&amp;"DIRECT REVENUE",REP.data,18,FALSE))*INDEX(REP.indexationtoFOCUSYEAR,MATCH(VALUE(COMPARISONYEAR),REP.yearsrange))/$A$2</f>
        <v>4.5144823849468281E-2</v>
      </c>
      <c r="L29" s="195">
        <f t="shared" si="1"/>
        <v>0.30364914115002195</v>
      </c>
      <c r="M29" s="900" t="s">
        <v>50</v>
      </c>
      <c r="N29" s="901"/>
      <c r="O29" s="902"/>
      <c r="P29" s="292">
        <f>VLOOKUP(FOCUSYEAR&amp;".Employment."&amp;$M29,REP.data,18,FALSE)</f>
        <v>715.02702278836534</v>
      </c>
      <c r="Q29" s="293">
        <f>VLOOKUP(COMPARISONYEAR&amp;".Employment."&amp;$M29,REP.data,18,FALSE)</f>
        <v>580.75162644828924</v>
      </c>
      <c r="R29" s="195">
        <f t="shared" si="2"/>
        <v>0.2312096776401058</v>
      </c>
      <c r="S29" s="182"/>
      <c r="T29" s="182"/>
      <c r="U29" s="182"/>
      <c r="V29" s="182"/>
      <c r="W29" s="182"/>
      <c r="X29" s="299"/>
    </row>
    <row r="30" spans="5:24" ht="16.2" customHeight="1" thickTop="1" thickBot="1" x14ac:dyDescent="0.35">
      <c r="E30" s="298"/>
      <c r="F30" s="182"/>
      <c r="G30" s="182"/>
      <c r="H30" s="182"/>
      <c r="I30" s="182"/>
      <c r="J30" s="655">
        <f>VLOOKUP(FOCUSYEAR&amp;".Economic Impact."&amp;$M30,REP.data,18,FALSE)*(1+VLOOKUP(FOCUSYEAR&amp;".economic impact."&amp;"VAT",REP.data,18,FALSE)/VLOOKUP(FOCUSYEAR&amp;".economic impact."&amp;"DIRECT REVENUE",REP.data,18,FALSE))*IF(REP.indexed="YES",INDEX(REP.indexationtoFOCUSYEAR,FOCUSYEAR.no),1)/$A$2</f>
        <v>0.2854080437694731</v>
      </c>
      <c r="K30" s="656">
        <f>VLOOKUP(COMPARISONYEAR&amp;".Economic Impact."&amp;$M30,REP.data,18,FALSE)*(1+VLOOKUP(COMPARISONYEAR&amp;".economic impact."&amp;"VAT",REP.data,18,FALSE)/VLOOKUP(COMPARISONYEAR&amp;".economic impact."&amp;"DIRECT REVENUE",REP.data,18,FALSE))*INDEX(REP.indexationtoFOCUSYEAR,MATCH(VALUE(COMPARISONYEAR),REP.yearsrange))/$A$2</f>
        <v>0.18964981186868424</v>
      </c>
      <c r="L30" s="195">
        <f t="shared" si="1"/>
        <v>0.50492131237700888</v>
      </c>
      <c r="M30" s="900" t="s">
        <v>51</v>
      </c>
      <c r="N30" s="901"/>
      <c r="O30" s="902"/>
      <c r="P30" s="292">
        <f>VLOOKUP(FOCUSYEAR&amp;".Employment."&amp;$M30,REP.data,18,FALSE)</f>
        <v>2820.3242301256728</v>
      </c>
      <c r="Q30" s="293">
        <f>VLOOKUP(COMPARISONYEAR&amp;".Employment."&amp;$M30,REP.data,18,FALSE)</f>
        <v>1924.3771860099953</v>
      </c>
      <c r="R30" s="195">
        <f t="shared" si="2"/>
        <v>0.46557766877985829</v>
      </c>
      <c r="S30" s="182"/>
      <c r="T30" s="182"/>
      <c r="U30" s="182"/>
      <c r="V30" s="182"/>
      <c r="W30" s="182"/>
      <c r="X30" s="299"/>
    </row>
    <row r="31" spans="5:24" ht="16.2" customHeight="1" thickTop="1" thickBot="1" x14ac:dyDescent="0.35">
      <c r="E31" s="298"/>
      <c r="F31" s="182"/>
      <c r="G31" s="182"/>
      <c r="H31" s="182"/>
      <c r="I31" s="182"/>
      <c r="J31" s="655">
        <f>VLOOKUP(FOCUSYEAR&amp;".Economic Impact."&amp;$M31,REP.data,18,FALSE)*(1+VLOOKUP(FOCUSYEAR&amp;".economic impact."&amp;"VAT",REP.data,18,FALSE)/VLOOKUP(FOCUSYEAR&amp;".economic impact."&amp;"DIRECT REVENUE",REP.data,18,FALSE))*IF(REP.indexed="YES",INDEX(REP.indexationtoFOCUSYEAR,FOCUSYEAR.no),1)/$A$2</f>
        <v>8.7387818778463577E-2</v>
      </c>
      <c r="K31" s="656">
        <f>VLOOKUP(COMPARISONYEAR&amp;".Economic Impact."&amp;$M31,REP.data,18,FALSE)*(1+VLOOKUP(COMPARISONYEAR&amp;".economic impact."&amp;"VAT",REP.data,18,FALSE)/VLOOKUP(COMPARISONYEAR&amp;".economic impact."&amp;"DIRECT REVENUE",REP.data,18,FALSE))*INDEX(REP.indexationtoFOCUSYEAR,MATCH(VALUE(COMPARISONYEAR),REP.yearsrange))/$A$2</f>
        <v>5.8691383978057218E-2</v>
      </c>
      <c r="L31" s="195">
        <f t="shared" si="1"/>
        <v>0.48893777681465167</v>
      </c>
      <c r="M31" s="900" t="s">
        <v>52</v>
      </c>
      <c r="N31" s="901"/>
      <c r="O31" s="902"/>
      <c r="P31" s="292">
        <f>VLOOKUP(FOCUSYEAR&amp;".Employment."&amp;$M31,REP.data,18,FALSE)</f>
        <v>416.70632994450165</v>
      </c>
      <c r="Q31" s="293">
        <f>VLOOKUP(COMPARISONYEAR&amp;".Employment."&amp;$M31,REP.data,18,FALSE)</f>
        <v>292.68386359063646</v>
      </c>
      <c r="R31" s="195">
        <f t="shared" si="2"/>
        <v>0.42374207047960022</v>
      </c>
      <c r="S31" s="182"/>
      <c r="T31" s="182"/>
      <c r="U31" s="182"/>
      <c r="V31" s="182"/>
      <c r="W31" s="182"/>
      <c r="X31" s="299"/>
    </row>
    <row r="32" spans="5:24" ht="16.2" customHeight="1" thickTop="1" thickBot="1" x14ac:dyDescent="0.35">
      <c r="E32" s="298"/>
      <c r="F32" s="182"/>
      <c r="G32" s="182"/>
      <c r="H32" s="182"/>
      <c r="I32" s="182"/>
      <c r="J32" s="657">
        <f>SUM(J27:J31)</f>
        <v>0.82192603983875667</v>
      </c>
      <c r="K32" s="659">
        <f>SUM(K27:K31)</f>
        <v>0.59489236105331722</v>
      </c>
      <c r="L32" s="304">
        <f t="shared" si="1"/>
        <v>0.38163824861266216</v>
      </c>
      <c r="M32" s="903" t="s">
        <v>89</v>
      </c>
      <c r="N32" s="904"/>
      <c r="O32" s="905"/>
      <c r="P32" s="305">
        <f>SUM(P27:P31)</f>
        <v>9520.5736487148206</v>
      </c>
      <c r="Q32" s="306">
        <f>SUM(Q27:Q31)</f>
        <v>6962.5579734038738</v>
      </c>
      <c r="R32" s="304">
        <f t="shared" si="2"/>
        <v>0.36739596066305746</v>
      </c>
      <c r="S32" s="182"/>
      <c r="T32" s="182"/>
      <c r="U32" s="182"/>
      <c r="V32" s="182"/>
      <c r="W32" s="182"/>
      <c r="X32" s="299"/>
    </row>
    <row r="33" spans="4:24" ht="16.2" customHeight="1" thickTop="1" thickBot="1" x14ac:dyDescent="0.35">
      <c r="E33" s="298"/>
      <c r="F33" s="182"/>
      <c r="G33" s="182"/>
      <c r="H33" s="182"/>
      <c r="I33" s="182"/>
      <c r="J33" s="655">
        <f>J34-J32</f>
        <v>0.27582850181259544</v>
      </c>
      <c r="K33" s="656">
        <f>K34-K32</f>
        <v>0.20262140221031744</v>
      </c>
      <c r="L33" s="195">
        <f t="shared" si="1"/>
        <v>0.36129993576044028</v>
      </c>
      <c r="M33" s="894" t="s">
        <v>115</v>
      </c>
      <c r="N33" s="895"/>
      <c r="O33" s="896"/>
      <c r="P33" s="292">
        <f>P34-P32</f>
        <v>2350.7835915269352</v>
      </c>
      <c r="Q33" s="293">
        <f>Q34-Q32</f>
        <v>1820.3351622307409</v>
      </c>
      <c r="R33" s="195">
        <f t="shared" si="2"/>
        <v>0.29140151786451951</v>
      </c>
      <c r="S33" s="182"/>
      <c r="T33" s="182"/>
      <c r="U33" s="182"/>
      <c r="V33" s="182"/>
      <c r="W33" s="182"/>
      <c r="X33" s="299"/>
    </row>
    <row r="34" spans="4:24" ht="16.2" customHeight="1" thickTop="1" thickBot="1" x14ac:dyDescent="0.35">
      <c r="E34" s="298"/>
      <c r="F34" s="182"/>
      <c r="G34" s="182"/>
      <c r="H34" s="182"/>
      <c r="I34" s="182"/>
      <c r="J34" s="658">
        <f>VLOOKUP(FOCUSYEAR&amp;".economic impact."&amp;$M34,REP.data,18,FALSE)*INDEX(REP.indexationtoFOCUSYEAR,MATCH(VALUE(FOCUSYEAR),REP.yearsrange))/$A$2</f>
        <v>1.0977545416513521</v>
      </c>
      <c r="K34" s="660">
        <f>VLOOKUP(COMPARISONYEAR&amp;".economic impact."&amp;$M34,REP.data,18,FALSE)*INDEX(REP.indexationtoFOCUSYEAR,MATCH(VALUE(COMPARISONYEAR),REP.yearsrange))/$A$2</f>
        <v>0.79751376326363466</v>
      </c>
      <c r="L34" s="304">
        <f t="shared" si="1"/>
        <v>0.37647096792292811</v>
      </c>
      <c r="M34" s="897" t="s">
        <v>38</v>
      </c>
      <c r="N34" s="898"/>
      <c r="O34" s="899"/>
      <c r="P34" s="307">
        <f>VLOOKUP(FOCUSYEAR&amp;".Employment."&amp;$M34,REP.data,18,FALSE)</f>
        <v>11871.357240241756</v>
      </c>
      <c r="Q34" s="308">
        <f>VLOOKUP(COMPARISONYEAR&amp;".Employment."&amp;$M34,REP.data,18,FALSE)</f>
        <v>8782.8931356346147</v>
      </c>
      <c r="R34" s="304">
        <f t="shared" si="2"/>
        <v>0.35164541534456251</v>
      </c>
      <c r="S34" s="182"/>
      <c r="T34" s="182"/>
      <c r="U34" s="182"/>
      <c r="V34" s="182"/>
      <c r="W34" s="182"/>
      <c r="X34" s="299"/>
    </row>
    <row r="35" spans="4:24" ht="15.75" customHeight="1" thickTop="1" thickBot="1" x14ac:dyDescent="0.35">
      <c r="E35" s="298"/>
      <c r="F35" s="182"/>
      <c r="G35" s="182"/>
      <c r="H35" s="182"/>
      <c r="I35" s="182"/>
      <c r="J35" s="675" t="str">
        <f>IF(ROUND(J32,0)&lt;&gt;ROUND(V15,0),"ERROR","")</f>
        <v/>
      </c>
      <c r="K35" s="675" t="str">
        <f>IF(ROUND(K32,0)&lt;&gt;ROUND(W15,0),"ERROR","")</f>
        <v/>
      </c>
      <c r="L35" s="167"/>
      <c r="M35" s="674"/>
      <c r="N35" s="674"/>
      <c r="O35" s="674"/>
      <c r="P35" s="675" t="str">
        <f>IF(ROUND(P32,0)&lt;&gt;ROUND(V17,0),"ERROR","")</f>
        <v/>
      </c>
      <c r="Q35" s="675" t="str">
        <f>IF(ROUND(Q32,0)&lt;&gt;ROUND(W17,0),"ERROR","")</f>
        <v/>
      </c>
      <c r="R35" s="673"/>
      <c r="S35" s="182"/>
      <c r="T35" s="182"/>
      <c r="U35" s="182"/>
      <c r="V35" s="182"/>
      <c r="W35" s="182"/>
      <c r="X35" s="299"/>
    </row>
    <row r="36" spans="4:24" s="174" customFormat="1" ht="16.2" customHeight="1" thickTop="1" thickBot="1" x14ac:dyDescent="0.2">
      <c r="D36" s="170"/>
      <c r="E36" s="171" t="str">
        <f>REP.footer1</f>
        <v>This report is copyright © Global Tourism Solutions (UK) Ltd 2023</v>
      </c>
      <c r="F36" s="172"/>
      <c r="G36" s="172"/>
      <c r="H36" s="172"/>
      <c r="I36" s="172"/>
      <c r="J36" s="172"/>
      <c r="K36" s="172"/>
      <c r="L36" s="172"/>
      <c r="M36" s="172"/>
      <c r="N36" s="172"/>
      <c r="O36" s="172"/>
      <c r="P36" s="172"/>
      <c r="Q36" s="172"/>
      <c r="R36" s="172"/>
      <c r="S36" s="172"/>
      <c r="T36" s="172"/>
      <c r="U36" s="172"/>
      <c r="V36" s="172"/>
      <c r="W36" s="172"/>
      <c r="X36" s="173" t="str">
        <f>REP.footer2</f>
        <v>Report Prepared by: Cathy James. Date of Issue: 14/08/23</v>
      </c>
    </row>
    <row r="37" spans="4:24" ht="16.2" customHeight="1" thickTop="1" x14ac:dyDescent="0.3"/>
    <row r="68" spans="7:23" ht="16.2" customHeight="1" x14ac:dyDescent="0.3">
      <c r="G68" s="111" t="s">
        <v>43</v>
      </c>
      <c r="H68" s="111" t="s">
        <v>43</v>
      </c>
      <c r="J68" s="111" t="s">
        <v>48</v>
      </c>
      <c r="K68" s="111" t="s">
        <v>48</v>
      </c>
      <c r="M68" s="111" t="s">
        <v>18</v>
      </c>
      <c r="N68" s="111" t="s">
        <v>18</v>
      </c>
      <c r="P68" s="111" t="s">
        <v>95</v>
      </c>
      <c r="S68" s="111" t="s">
        <v>71</v>
      </c>
      <c r="T68" s="111" t="s">
        <v>71</v>
      </c>
      <c r="V68" s="111" t="s">
        <v>54</v>
      </c>
      <c r="W68" s="111" t="s">
        <v>54</v>
      </c>
    </row>
  </sheetData>
  <sheetProtection algorithmName="SHA-512" hashValue="A4Y/gfch/qJKAancOIF78rdIjcc9aLCMEG5Nvp/Ba4i+74+mTAMvZahnEzt50NMthhWJQ7gpDblJDbV4wlL8rw==" saltValue="GKH3uFejuglnm6CMdii3/w==" spinCount="100000" sheet="1" objects="1" scenarios="1"/>
  <mergeCells count="38">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E12:F12"/>
    <mergeCell ref="V9:X11"/>
    <mergeCell ref="E10:F10"/>
    <mergeCell ref="G10:L10"/>
    <mergeCell ref="M10:O11"/>
    <mergeCell ref="E11:F11"/>
    <mergeCell ref="G11:I11"/>
    <mergeCell ref="J11:L11"/>
  </mergeCells>
  <conditionalFormatting sqref="G13:H14">
    <cfRule type="expression" dxfId="187" priority="55">
      <formula>G13&lt;10</formula>
    </cfRule>
  </conditionalFormatting>
  <conditionalFormatting sqref="G16:H16">
    <cfRule type="expression" dxfId="186" priority="51">
      <formula>G16&lt;10</formula>
    </cfRule>
  </conditionalFormatting>
  <conditionalFormatting sqref="I13:I18">
    <cfRule type="cellIs" dxfId="185" priority="56" operator="greaterThanOrEqual">
      <formula>REP.percenthighlight</formula>
    </cfRule>
    <cfRule type="cellIs" dxfId="184" priority="57" operator="lessThanOrEqual">
      <formula>-REP.percenthighlight</formula>
    </cfRule>
  </conditionalFormatting>
  <conditionalFormatting sqref="J13:K14">
    <cfRule type="expression" dxfId="183" priority="4">
      <formula>J13&lt;10</formula>
    </cfRule>
  </conditionalFormatting>
  <conditionalFormatting sqref="J16:K34">
    <cfRule type="expression" dxfId="182" priority="3">
      <formula>J16&lt;10</formula>
    </cfRule>
  </conditionalFormatting>
  <conditionalFormatting sqref="J35:K35">
    <cfRule type="expression" dxfId="181" priority="53">
      <formula>J35="ERROR"</formula>
    </cfRule>
  </conditionalFormatting>
  <conditionalFormatting sqref="L13:L18">
    <cfRule type="cellIs" dxfId="180" priority="24" operator="greaterThanOrEqual">
      <formula>REP.percenthighlight</formula>
    </cfRule>
    <cfRule type="cellIs" dxfId="179" priority="25" operator="lessThanOrEqual">
      <formula>-REP.percenthighlight</formula>
    </cfRule>
  </conditionalFormatting>
  <conditionalFormatting sqref="L27:L35 R27:R35">
    <cfRule type="cellIs" dxfId="178" priority="59" operator="greaterThanOrEqual">
      <formula>REP.percenthighlight</formula>
    </cfRule>
    <cfRule type="cellIs" dxfId="177" priority="60" operator="lessThanOrEqual">
      <formula>-REP.percenthighlight</formula>
    </cfRule>
  </conditionalFormatting>
  <conditionalFormatting sqref="M13:N14">
    <cfRule type="expression" dxfId="176" priority="2">
      <formula>M13&lt;10</formula>
    </cfRule>
  </conditionalFormatting>
  <conditionalFormatting sqref="M16:N16">
    <cfRule type="expression" dxfId="175" priority="1">
      <formula>M16&lt;10</formula>
    </cfRule>
  </conditionalFormatting>
  <conditionalFormatting sqref="O13:O18">
    <cfRule type="cellIs" dxfId="174" priority="20" operator="greaterThanOrEqual">
      <formula>REP.percenthighlight</formula>
    </cfRule>
    <cfRule type="cellIs" dxfId="173" priority="21" operator="lessThanOrEqual">
      <formula>-REP.percenthighlight</formula>
    </cfRule>
  </conditionalFormatting>
  <conditionalFormatting sqref="P13:Q14">
    <cfRule type="expression" dxfId="172" priority="36">
      <formula>P13&lt;10</formula>
    </cfRule>
  </conditionalFormatting>
  <conditionalFormatting sqref="P16:Q16">
    <cfRule type="expression" dxfId="171" priority="14">
      <formula>P16&lt;10</formula>
    </cfRule>
  </conditionalFormatting>
  <conditionalFormatting sqref="P35:Q35">
    <cfRule type="expression" dxfId="170" priority="52">
      <formula>P35="ERROR"</formula>
    </cfRule>
  </conditionalFormatting>
  <conditionalFormatting sqref="R13:R18">
    <cfRule type="cellIs" dxfId="169" priority="16" operator="greaterThanOrEqual">
      <formula>REP.percenthighlight</formula>
    </cfRule>
    <cfRule type="cellIs" dxfId="168" priority="17" operator="lessThanOrEqual">
      <formula>-REP.percenthighlight</formula>
    </cfRule>
  </conditionalFormatting>
  <conditionalFormatting sqref="S13:T14">
    <cfRule type="expression" dxfId="167" priority="31">
      <formula>S13&lt;10</formula>
    </cfRule>
  </conditionalFormatting>
  <conditionalFormatting sqref="S16:T16">
    <cfRule type="expression" dxfId="166" priority="10">
      <formula>S16&lt;10</formula>
    </cfRule>
  </conditionalFormatting>
  <conditionalFormatting sqref="U13:U18">
    <cfRule type="cellIs" dxfId="165" priority="12" operator="greaterThanOrEqual">
      <formula>REP.percenthighlight</formula>
    </cfRule>
    <cfRule type="cellIs" dxfId="164" priority="13" operator="lessThanOrEqual">
      <formula>-REP.percenthighlight</formula>
    </cfRule>
  </conditionalFormatting>
  <conditionalFormatting sqref="V13:W16">
    <cfRule type="expression" dxfId="163" priority="6">
      <formula>V13&lt;10</formula>
    </cfRule>
  </conditionalFormatting>
  <conditionalFormatting sqref="X13:X18">
    <cfRule type="cellIs" dxfId="162" priority="8" operator="greaterThanOrEqual">
      <formula>REP.percenthighlight</formula>
    </cfRule>
    <cfRule type="cellIs" dxfId="161" priority="9"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22860</xdr:rowOff>
                  </from>
                  <to>
                    <xdr:col>22</xdr:col>
                    <xdr:colOff>274320</xdr:colOff>
                    <xdr:row>4</xdr:row>
                    <xdr:rowOff>297180</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426720</xdr:colOff>
                    <xdr:row>4</xdr:row>
                    <xdr:rowOff>22860</xdr:rowOff>
                  </from>
                  <to>
                    <xdr:col>8</xdr:col>
                    <xdr:colOff>144780</xdr:colOff>
                    <xdr:row>4</xdr:row>
                    <xdr:rowOff>297180</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83820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22860</xdr:rowOff>
                  </from>
                  <to>
                    <xdr:col>5</xdr:col>
                    <xdr:colOff>0</xdr:colOff>
                    <xdr:row>4</xdr:row>
                    <xdr:rowOff>297180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20" activePane="bottomLeft" state="frozen"/>
      <selection activeCell="M48" sqref="M48"/>
      <selection pane="bottomLeft" activeCell="AF24" sqref="AF24"/>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KEY MEASURES</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365" t="str">
        <f>REP.title1</f>
        <v>STEAM FINAL TREND REPORT FOR 2011-2022</v>
      </c>
      <c r="F6" s="393"/>
      <c r="G6" s="393"/>
      <c r="H6" s="393"/>
      <c r="I6" s="393"/>
      <c r="J6" s="393"/>
      <c r="K6" s="393"/>
      <c r="L6" s="393"/>
      <c r="M6" s="393"/>
      <c r="N6" s="393"/>
      <c r="O6" s="939" t="str">
        <f>MIN(REP.yearsrange)&amp;" to "&amp;MAX(REP.yearsrange)</f>
        <v>2011 to 2022</v>
      </c>
      <c r="P6" s="940"/>
      <c r="Q6" s="940"/>
      <c r="R6" s="941"/>
      <c r="S6" s="929" t="str">
        <f>UPPER(TYPE.userselected)</f>
        <v>TOTAL</v>
      </c>
      <c r="T6" s="930"/>
      <c r="U6" s="933" t="str">
        <f>IF(REP.indexed="YES","KEY MEASURES"&amp;CHAR(10)&amp;"Indexed","KEY MEASURES"&amp;CHAR(10)&amp;"Historic Prices")</f>
        <v>KEY MEASURES
Indexed</v>
      </c>
      <c r="V6" s="934"/>
      <c r="W6" s="934"/>
      <c r="X6" s="935"/>
    </row>
    <row r="7" spans="1:26" ht="16.2" customHeight="1" thickBot="1" x14ac:dyDescent="0.35">
      <c r="E7" s="366" t="str">
        <f>REP.title2</f>
        <v>CONWY COUNTY BOROUGH COUNCIL</v>
      </c>
      <c r="F7" s="367"/>
      <c r="G7" s="367"/>
      <c r="H7" s="367"/>
      <c r="I7" s="368"/>
      <c r="J7" s="368"/>
      <c r="K7" s="368"/>
      <c r="L7" s="368"/>
      <c r="M7" s="368"/>
      <c r="N7" s="368"/>
      <c r="O7" s="942" t="str">
        <f>IF(REP.indexed="YES",MAX(REP.yearsrange)&amp;" Prices","Historic Prices")</f>
        <v>2022 Prices</v>
      </c>
      <c r="P7" s="943"/>
      <c r="Q7" s="943"/>
      <c r="R7" s="944"/>
      <c r="S7" s="931"/>
      <c r="T7" s="932"/>
      <c r="U7" s="936"/>
      <c r="V7" s="937"/>
      <c r="W7" s="937"/>
      <c r="X7" s="938"/>
    </row>
    <row r="8" spans="1:26" ht="16.2" customHeight="1" thickTop="1" thickBot="1" x14ac:dyDescent="0.35">
      <c r="E8" s="863" t="str">
        <f>IF(REP.indexed="YES","Economic Impact - Indexed - ","Economic Impact - Historic Prices - ")&amp;TYPE.userselected</f>
        <v>Economic Impact - Indexed - Total</v>
      </c>
      <c r="F8" s="864"/>
      <c r="G8" s="864"/>
      <c r="H8" s="864"/>
      <c r="I8" s="864"/>
      <c r="J8" s="864"/>
      <c r="K8" s="864"/>
      <c r="L8" s="864"/>
      <c r="M8" s="864"/>
      <c r="N8" s="864"/>
      <c r="O8" s="926" t="str">
        <f ca="1">PROPER('VISITOR NUMBERS'!$U$6)&amp;" - "&amp;TYPE.userselected</f>
        <v>Visitor Numbers - Total</v>
      </c>
      <c r="P8" s="927"/>
      <c r="Q8" s="927"/>
      <c r="R8" s="927"/>
      <c r="S8" s="927"/>
      <c r="T8" s="927"/>
      <c r="U8" s="927"/>
      <c r="V8" s="927"/>
      <c r="W8" s="927"/>
      <c r="X8" s="928"/>
    </row>
    <row r="9" spans="1:26" s="125" customFormat="1" ht="16.2" customHeight="1" thickTop="1" thickBot="1" x14ac:dyDescent="0.35">
      <c r="E9" s="872" t="str">
        <f ca="1">'ECONOMIC IMPACT'!$P$7&amp;" "&amp;'ECONOMIC IMPACT'!$F$16</f>
        <v>2022 Prices £M</v>
      </c>
      <c r="F9" s="925"/>
      <c r="G9" s="925"/>
      <c r="H9" s="925"/>
      <c r="I9" s="925"/>
      <c r="J9" s="925"/>
      <c r="K9" s="925"/>
      <c r="L9" s="925"/>
      <c r="M9" s="925"/>
      <c r="N9" s="873"/>
      <c r="O9" s="872" t="str">
        <f ca="1">'VISITOR NUMBERS'!$F$16</f>
        <v>M</v>
      </c>
      <c r="P9" s="925"/>
      <c r="Q9" s="925"/>
      <c r="R9" s="925"/>
      <c r="S9" s="925"/>
      <c r="T9" s="925"/>
      <c r="U9" s="925"/>
      <c r="V9" s="925"/>
      <c r="W9" s="925"/>
      <c r="X9" s="873"/>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947" t="str">
        <f ca="1">PROPER('VISITOR DAYS'!$U$6)&amp;" - "&amp;TYPE.userselected</f>
        <v>Visitor Days - Total</v>
      </c>
      <c r="F20" s="948"/>
      <c r="G20" s="948"/>
      <c r="H20" s="948"/>
      <c r="I20" s="948"/>
      <c r="J20" s="948"/>
      <c r="K20" s="948"/>
      <c r="L20" s="948"/>
      <c r="M20" s="948"/>
      <c r="N20" s="948"/>
      <c r="O20" s="949" t="str">
        <f ca="1">PROPER(EMPLOYMENT!$U$6)&amp;" Supported - "&amp;TYPE.userselected</f>
        <v>Total Employment Supported - Total</v>
      </c>
      <c r="P20" s="950"/>
      <c r="Q20" s="950"/>
      <c r="R20" s="950"/>
      <c r="S20" s="950"/>
      <c r="T20" s="950"/>
      <c r="U20" s="950"/>
      <c r="V20" s="950"/>
      <c r="W20" s="950"/>
      <c r="X20" s="951"/>
    </row>
    <row r="21" spans="4:24" ht="16.2" customHeight="1" thickTop="1" thickBot="1" x14ac:dyDescent="0.35">
      <c r="E21" s="872" t="str">
        <f ca="1">'VISITOR DAYS'!$F$16</f>
        <v>M</v>
      </c>
      <c r="F21" s="925"/>
      <c r="G21" s="925"/>
      <c r="H21" s="925"/>
      <c r="I21" s="925"/>
      <c r="J21" s="925"/>
      <c r="K21" s="925"/>
      <c r="L21" s="925"/>
      <c r="M21" s="925"/>
      <c r="N21" s="873"/>
      <c r="O21" s="872" t="str">
        <f>EMPLOYMENT!$F$16</f>
        <v>FTEs</v>
      </c>
      <c r="P21" s="925"/>
      <c r="Q21" s="925"/>
      <c r="R21" s="925"/>
      <c r="S21" s="925"/>
      <c r="T21" s="925"/>
      <c r="U21" s="925"/>
      <c r="V21" s="925"/>
      <c r="W21" s="925"/>
      <c r="X21" s="873"/>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'KEY MEASURES'!$G$27:$R$27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'KEY MEASURES'!$G$28:$R$28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'KEY MEASURES'!$G$29:$R$29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'KEY MEASURES'!$G$30:$R$30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'KEY MEASURES'!$G$31:$R$31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c r="E32" s="266"/>
      <c r="F32" s="267"/>
      <c r="G32" s="268"/>
      <c r="H32" s="268"/>
      <c r="I32" s="666"/>
      <c r="J32" s="666"/>
      <c r="K32" s="666"/>
      <c r="L32" s="666"/>
      <c r="M32" s="667"/>
      <c r="N32" s="667"/>
      <c r="O32" s="668"/>
      <c r="P32" s="669"/>
      <c r="Q32" s="666"/>
      <c r="R32" s="666"/>
      <c r="S32" s="268"/>
      <c r="T32" s="670"/>
      <c r="U32" s="670"/>
      <c r="V32" s="670"/>
      <c r="W32" s="671"/>
      <c r="X32" s="672"/>
    </row>
    <row r="33" spans="4:24" ht="16.2" customHeight="1" thickTop="1" thickBot="1" x14ac:dyDescent="0.35">
      <c r="D33" s="196" t="str">
        <f ca="1">"'"&amp;$A$1&amp;"'!"&amp;CELL("address",G33)&amp;":"&amp;CELL("address",OFFSET(G33,0,COUNT(REP.yearsrange)-1))</f>
        <v>'KEY MEASURES'!$G$33:$R$33</v>
      </c>
      <c r="E33" s="956" t="str">
        <f>"% Change from "&amp;MIN(REP.yearsrange)</f>
        <v>% Change from 2011</v>
      </c>
      <c r="F33" s="957"/>
      <c r="G33" s="197">
        <f t="array" ref="G33:R33">TRANSPOSE(REP.yearsrange)</f>
        <v>2011</v>
      </c>
      <c r="H33" s="197">
        <v>2012</v>
      </c>
      <c r="I33" s="198">
        <v>2013</v>
      </c>
      <c r="J33" s="198">
        <v>2014</v>
      </c>
      <c r="K33" s="198">
        <v>2015</v>
      </c>
      <c r="L33" s="198">
        <v>2016</v>
      </c>
      <c r="M33" s="198">
        <v>2017</v>
      </c>
      <c r="N33" s="198">
        <v>2018</v>
      </c>
      <c r="O33" s="198">
        <v>2019</v>
      </c>
      <c r="P33" s="198">
        <v>2020</v>
      </c>
      <c r="Q33" s="198">
        <v>2021</v>
      </c>
      <c r="R33" s="198">
        <v>2022</v>
      </c>
      <c r="S33" s="268"/>
      <c r="T33" s="952" t="s">
        <v>180</v>
      </c>
      <c r="U33" s="952"/>
      <c r="V33" s="952"/>
      <c r="W33" s="952"/>
      <c r="X33" s="953"/>
    </row>
    <row r="34" spans="4:24" ht="16.2" customHeight="1" thickTop="1" thickBot="1" x14ac:dyDescent="0.35">
      <c r="D34" s="196"/>
      <c r="E34" s="958" t="str">
        <f>IF(REP.indexed="YES","Economic Impact - Indexed","Economic Impact - Historic Prices")</f>
        <v>Economic Impact - Indexed</v>
      </c>
      <c r="F34" s="959"/>
      <c r="G34" s="135">
        <f ca="1">IFERROR(IF('KEY MEASURES'!G$33=0,"",'ECONOMIC IMPACT'!G$30/'ECONOMIC IMPACT'!$G$30-1),"")</f>
        <v>0</v>
      </c>
      <c r="H34" s="135">
        <f ca="1">IFERROR(IF('KEY MEASURES'!H$33=0,"",'ECONOMIC IMPACT'!H$30/'ECONOMIC IMPACT'!$G$30-1),"")</f>
        <v>6.2059921881975511E-2</v>
      </c>
      <c r="I34" s="135">
        <f ca="1">IFERROR(IF('KEY MEASURES'!I$33=0,"",'ECONOMIC IMPACT'!I$30/'ECONOMIC IMPACT'!$G$30-1),"")</f>
        <v>0.10664117889657021</v>
      </c>
      <c r="J34" s="135">
        <f ca="1">IFERROR(IF('KEY MEASURES'!J$33=0,"",'ECONOMIC IMPACT'!J$30/'ECONOMIC IMPACT'!$G$30-1),"")</f>
        <v>0.12672067914650587</v>
      </c>
      <c r="K34" s="135">
        <f ca="1">IFERROR(IF('KEY MEASURES'!K$33=0,"",'ECONOMIC IMPACT'!K$30/'ECONOMIC IMPACT'!$G$30-1),"")</f>
        <v>0.17943618637466363</v>
      </c>
      <c r="L34" s="135">
        <f ca="1">IFERROR(IF('KEY MEASURES'!L$33=0,"",'ECONOMIC IMPACT'!L$30/'ECONOMIC IMPACT'!$G$30-1),"")</f>
        <v>0.168627324931091</v>
      </c>
      <c r="M34" s="135">
        <f ca="1">IFERROR(IF('KEY MEASURES'!M$33=0,"",'ECONOMIC IMPACT'!M$30/'ECONOMIC IMPACT'!$G$30-1),"")</f>
        <v>0.20831855905110963</v>
      </c>
      <c r="N34" s="135">
        <f ca="1">IFERROR(IF('KEY MEASURES'!N$33=0,"",'ECONOMIC IMPACT'!N$30/'ECONOMIC IMPACT'!$G$30-1),"")</f>
        <v>0.24391190079062897</v>
      </c>
      <c r="O34" s="135">
        <f ca="1">IFERROR(IF('KEY MEASURES'!O$33=0,"",'ECONOMIC IMPACT'!O$30/'ECONOMIC IMPACT'!$G$30-1),"")</f>
        <v>0.29346283125701533</v>
      </c>
      <c r="P34" s="135">
        <f ca="1">IFERROR(IF('KEY MEASURES'!P$33=0,"",'ECONOMIC IMPACT'!P$30/'ECONOMIC IMPACT'!$G$30-1),"")</f>
        <v>-0.52866235388620308</v>
      </c>
      <c r="Q34" s="135">
        <f ca="1">IFERROR(IF('KEY MEASURES'!Q$33=0,"",'ECONOMIC IMPACT'!Q$30/'ECONOMIC IMPACT'!$G$30-1),"")</f>
        <v>-7.7594300576859898E-2</v>
      </c>
      <c r="R34" s="135">
        <f ca="1">IFERROR(IF('KEY MEASURES'!R$33=0,"",'ECONOMIC IMPACT'!R$30/'ECONOMIC IMPACT'!$G$30-1),"")</f>
        <v>0.26966466590259519</v>
      </c>
      <c r="S34" s="276"/>
      <c r="T34" s="954"/>
      <c r="U34" s="954"/>
      <c r="V34" s="954"/>
      <c r="W34" s="954"/>
      <c r="X34" s="955"/>
    </row>
    <row r="35" spans="4:24" ht="16.2" customHeight="1" thickTop="1" thickBot="1" x14ac:dyDescent="0.35">
      <c r="D35" s="196"/>
      <c r="E35" s="960" t="str">
        <f ca="1">PROPER('VISITOR NUMBERS'!$U$6)</f>
        <v>Visitor Numbers</v>
      </c>
      <c r="F35" s="961"/>
      <c r="G35" s="135">
        <f ca="1">IFERROR(IF('KEY MEASURES'!G$33=0,"",'VISITOR NUMBERS'!G$30/'VISITOR NUMBERS'!$G$30-1),"")</f>
        <v>0</v>
      </c>
      <c r="H35" s="135">
        <f ca="1">IFERROR(IF('KEY MEASURES'!H$33=0,"",'VISITOR NUMBERS'!H$30/'VISITOR NUMBERS'!$G$30-1),"")</f>
        <v>1.0656464063200533E-2</v>
      </c>
      <c r="I35" s="135">
        <f ca="1">IFERROR(IF('KEY MEASURES'!I$33=0,"",'VISITOR NUMBERS'!I$30/'VISITOR NUMBERS'!$G$30-1),"")</f>
        <v>7.3867297268242371E-2</v>
      </c>
      <c r="J35" s="135">
        <f ca="1">IFERROR(IF('KEY MEASURES'!J$33=0,"",'VISITOR NUMBERS'!J$30/'VISITOR NUMBERS'!$G$30-1),"")</f>
        <v>0.11453135462122876</v>
      </c>
      <c r="K35" s="135">
        <f ca="1">IFERROR(IF('KEY MEASURES'!K$33=0,"",'VISITOR NUMBERS'!K$30/'VISITOR NUMBERS'!$G$30-1),"")</f>
        <v>0.17672838452481354</v>
      </c>
      <c r="L35" s="135">
        <f ca="1">IFERROR(IF('KEY MEASURES'!L$33=0,"",'VISITOR NUMBERS'!L$30/'VISITOR NUMBERS'!$G$30-1),"")</f>
        <v>0.16339334223316859</v>
      </c>
      <c r="M35" s="135">
        <f ca="1">IFERROR(IF('KEY MEASURES'!M$33=0,"",'VISITOR NUMBERS'!M$30/'VISITOR NUMBERS'!$G$30-1),"")</f>
        <v>0.17692302134107618</v>
      </c>
      <c r="N35" s="135">
        <f ca="1">IFERROR(IF('KEY MEASURES'!N$33=0,"",'VISITOR NUMBERS'!N$30/'VISITOR NUMBERS'!$G$30-1),"")</f>
        <v>0.19615108859115904</v>
      </c>
      <c r="O35" s="135">
        <f ca="1">IFERROR(IF('KEY MEASURES'!O$33=0,"",'VISITOR NUMBERS'!O$30/'VISITOR NUMBERS'!$G$30-1),"")</f>
        <v>0.24052514663594105</v>
      </c>
      <c r="P35" s="135">
        <f ca="1">IFERROR(IF('KEY MEASURES'!P$33=0,"",'VISITOR NUMBERS'!P$30/'VISITOR NUMBERS'!$G$30-1),"")</f>
        <v>-0.55650873519521626</v>
      </c>
      <c r="Q35" s="135">
        <f ca="1">IFERROR(IF('KEY MEASURES'!Q$33=0,"",'VISITOR NUMBERS'!Q$30/'VISITOR NUMBERS'!$G$30-1),"")</f>
        <v>-2.1631919655753507E-3</v>
      </c>
      <c r="R35" s="135">
        <f ca="1">IFERROR(IF('KEY MEASURES'!R$33=0,"",'VISITOR NUMBERS'!R$30/'VISITOR NUMBERS'!$G$30-1),"")</f>
        <v>0.20003614026170191</v>
      </c>
      <c r="S35" s="276"/>
      <c r="T35" s="276"/>
      <c r="U35" s="276"/>
      <c r="V35" s="276"/>
      <c r="W35" s="277"/>
      <c r="X35" s="278"/>
    </row>
    <row r="36" spans="4:24" ht="16.2" customHeight="1" thickTop="1" thickBot="1" x14ac:dyDescent="0.35">
      <c r="D36" s="196"/>
      <c r="E36" s="962" t="str">
        <f ca="1">PROPER('VISITOR DAYS'!$U$6)</f>
        <v>Visitor Days</v>
      </c>
      <c r="F36" s="963"/>
      <c r="G36" s="135">
        <f ca="1">IFERROR(IF('KEY MEASURES'!G$33=0,"",'VISITOR DAYS'!G$30/'VISITOR DAYS'!$G$30-1),"")</f>
        <v>0</v>
      </c>
      <c r="H36" s="135">
        <f ca="1">IFERROR(IF('KEY MEASURES'!H$33=0,"",'VISITOR DAYS'!H$30/'VISITOR DAYS'!$G$30-1),"")</f>
        <v>7.4330627305283059E-2</v>
      </c>
      <c r="I36" s="135">
        <f ca="1">IFERROR(IF('KEY MEASURES'!I$33=0,"",'VISITOR DAYS'!I$30/'VISITOR DAYS'!$G$30-1),"")</f>
        <v>0.11991493642185147</v>
      </c>
      <c r="J36" s="135">
        <f ca="1">IFERROR(IF('KEY MEASURES'!J$33=0,"",'VISITOR DAYS'!J$30/'VISITOR DAYS'!$G$30-1),"")</f>
        <v>0.13609099650033785</v>
      </c>
      <c r="K36" s="135">
        <f ca="1">IFERROR(IF('KEY MEASURES'!K$33=0,"",'VISITOR DAYS'!K$30/'VISITOR DAYS'!$G$30-1),"")</f>
        <v>0.18789989962256048</v>
      </c>
      <c r="L36" s="135">
        <f ca="1">IFERROR(IF('KEY MEASURES'!L$33=0,"",'VISITOR DAYS'!L$30/'VISITOR DAYS'!$G$30-1),"")</f>
        <v>0.17565216080319712</v>
      </c>
      <c r="M36" s="135">
        <f ca="1">IFERROR(IF('KEY MEASURES'!M$33=0,"",'VISITOR DAYS'!M$30/'VISITOR DAYS'!$G$30-1),"")</f>
        <v>0.2105038761569491</v>
      </c>
      <c r="N36" s="135">
        <f ca="1">IFERROR(IF('KEY MEASURES'!N$33=0,"",'VISITOR DAYS'!N$30/'VISITOR DAYS'!$G$30-1),"")</f>
        <v>0.23387775034875835</v>
      </c>
      <c r="O36" s="135">
        <f ca="1">IFERROR(IF('KEY MEASURES'!O$33=0,"",'VISITOR DAYS'!O$30/'VISITOR DAYS'!$G$30-1),"")</f>
        <v>0.27180551843231981</v>
      </c>
      <c r="P36" s="135">
        <f ca="1">IFERROR(IF('KEY MEASURES'!P$33=0,"",'VISITOR DAYS'!P$30/'VISITOR DAYS'!$G$30-1),"")</f>
        <v>-0.56585589701114358</v>
      </c>
      <c r="Q36" s="135">
        <f ca="1">IFERROR(IF('KEY MEASURES'!Q$33=0,"",'VISITOR DAYS'!Q$30/'VISITOR DAYS'!$G$30-1),"")</f>
        <v>-4.0971484463327323E-2</v>
      </c>
      <c r="R36" s="135">
        <f ca="1">IFERROR(IF('KEY MEASURES'!R$33=0,"",'VISITOR DAYS'!R$30/'VISITOR DAYS'!$G$30-1),"")</f>
        <v>0.24428542944029741</v>
      </c>
      <c r="S36" s="276"/>
      <c r="T36" s="276"/>
      <c r="U36" s="276"/>
      <c r="V36" s="276"/>
      <c r="W36" s="277"/>
      <c r="X36" s="278"/>
    </row>
    <row r="37" spans="4:24" ht="16.2" customHeight="1" thickTop="1" thickBot="1" x14ac:dyDescent="0.35">
      <c r="D37" s="196"/>
      <c r="E37" s="945" t="str">
        <f ca="1">PROPER(EMPLOYMENT!$U$6)</f>
        <v>Total Employment</v>
      </c>
      <c r="F37" s="946"/>
      <c r="G37" s="135">
        <f ca="1">IFERROR(IF('KEY MEASURES'!G$33=0,"",EMPLOYMENT!G$30/EMPLOYMENT!$G$30-1),"")</f>
        <v>0</v>
      </c>
      <c r="H37" s="135">
        <f ca="1">IFERROR(IF('KEY MEASURES'!H$33=0,"",EMPLOYMENT!H$30/EMPLOYMENT!$G$30-1),"")</f>
        <v>6.8658302720646436E-2</v>
      </c>
      <c r="I37" s="135">
        <f ca="1">IFERROR(IF('KEY MEASURES'!I$33=0,"",EMPLOYMENT!I$30/EMPLOYMENT!$G$30-1),"")</f>
        <v>0.10799634210642006</v>
      </c>
      <c r="J37" s="135">
        <f ca="1">IFERROR(IF('KEY MEASURES'!J$33=0,"",EMPLOYMENT!J$30/EMPLOYMENT!$G$30-1),"")</f>
        <v>3.967658216325054E-2</v>
      </c>
      <c r="K37" s="135">
        <f ca="1">IFERROR(IF('KEY MEASURES'!K$33=0,"",EMPLOYMENT!K$30/EMPLOYMENT!$G$30-1),"")</f>
        <v>0.10840358772332293</v>
      </c>
      <c r="L37" s="135">
        <f ca="1">IFERROR(IF('KEY MEASURES'!L$33=0,"",EMPLOYMENT!L$30/EMPLOYMENT!$G$30-1),"")</f>
        <v>9.7560015126953115E-2</v>
      </c>
      <c r="M37" s="135">
        <f ca="1">IFERROR(IF('KEY MEASURES'!M$33=0,"",EMPLOYMENT!M$30/EMPLOYMENT!$G$30-1),"")</f>
        <v>0.10538225789013822</v>
      </c>
      <c r="N37" s="135">
        <f ca="1">IFERROR(IF('KEY MEASURES'!N$33=0,"",EMPLOYMENT!N$30/EMPLOYMENT!$G$30-1),"")</f>
        <v>0.10179670619225578</v>
      </c>
      <c r="O37" s="135">
        <f ca="1">IFERROR(IF('KEY MEASURES'!O$33=0,"",EMPLOYMENT!O$30/EMPLOYMENT!$G$30-1),"")</f>
        <v>0.15957437901701632</v>
      </c>
      <c r="P37" s="135">
        <f ca="1">IFERROR(IF('KEY MEASURES'!P$33=0,"",EMPLOYMENT!P$30/EMPLOYMENT!$G$30-1),"")</f>
        <v>-0.49521598860311755</v>
      </c>
      <c r="Q37" s="135">
        <f ca="1">IFERROR(IF('KEY MEASURES'!Q$33=0,"",EMPLOYMENT!Q$30/EMPLOYMENT!$G$30-1),"")</f>
        <v>-0.19281621240864932</v>
      </c>
      <c r="R37" s="135">
        <f ca="1">IFERROR(IF('KEY MEASURES'!R$33=0,"",EMPLOYMENT!R$30/EMPLOYMENT!$G$30-1),"")</f>
        <v>9.1026265838308307E-2</v>
      </c>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g8OZbApD/jTylum2KD0Qa9M60TvDdpuDcf/1citb2vlHsFq1vVky+/8HxsGT2bab6T+FrWaVfxsNU4dYPfJ7kQ==" saltValue="QckBHtDBAlUVKyTXW3AQHw==" spinCount="100000" sheet="1" objects="1" scenarios="1"/>
  <mergeCells count="18">
    <mergeCell ref="E37:F37"/>
    <mergeCell ref="E20:N20"/>
    <mergeCell ref="E21:N21"/>
    <mergeCell ref="O20:X20"/>
    <mergeCell ref="O21:X21"/>
    <mergeCell ref="T33:X34"/>
    <mergeCell ref="E33:F33"/>
    <mergeCell ref="E34:F34"/>
    <mergeCell ref="E35:F35"/>
    <mergeCell ref="E36:F36"/>
    <mergeCell ref="E9:N9"/>
    <mergeCell ref="O8:X8"/>
    <mergeCell ref="O9:X9"/>
    <mergeCell ref="S6:T7"/>
    <mergeCell ref="U6:X7"/>
    <mergeCell ref="O6:R6"/>
    <mergeCell ref="O7:R7"/>
    <mergeCell ref="E8:N8"/>
  </mergeCells>
  <conditionalFormatting sqref="E34:E37">
    <cfRule type="expression" dxfId="160" priority="17">
      <formula>E34=0</formula>
    </cfRule>
  </conditionalFormatting>
  <conditionalFormatting sqref="G34:R37">
    <cfRule type="expression" dxfId="159" priority="7" stopIfTrue="1">
      <formula>OR(G$33=0,G34="")</formula>
    </cfRule>
    <cfRule type="cellIs" dxfId="158" priority="8" operator="lessThanOrEqual">
      <formula>-REP.percenthighlight</formula>
    </cfRule>
    <cfRule type="cellIs" dxfId="157" priority="9" operator="greaterThanOrEqual">
      <formula>REP.percenthighlight</formula>
    </cfRule>
  </conditionalFormatting>
  <conditionalFormatting sqref="I33:R33">
    <cfRule type="expression" dxfId="156" priority="16">
      <formula>I33=0</formula>
    </cfRule>
  </conditionalFormatting>
  <conditionalFormatting sqref="S6:T7">
    <cfRule type="expression" dxfId="155" priority="1">
      <formula>TYPE.no=6</formula>
    </cfRule>
    <cfRule type="expression" dxfId="154" priority="2">
      <formula>TYPE.no=5</formula>
    </cfRule>
    <cfRule type="expression" dxfId="153" priority="3">
      <formula>TYPE.no=4</formula>
    </cfRule>
    <cfRule type="expression" dxfId="152" priority="4">
      <formula>TYPE.no=3</formula>
    </cfRule>
    <cfRule type="expression" dxfId="151" priority="5">
      <formula>TYPE.no=2</formula>
    </cfRule>
    <cfRule type="expression" dxfId="150"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198120</xdr:colOff>
                    <xdr:row>4</xdr:row>
                    <xdr:rowOff>22860</xdr:rowOff>
                  </from>
                  <to>
                    <xdr:col>22</xdr:col>
                    <xdr:colOff>289560</xdr:colOff>
                    <xdr:row>4</xdr:row>
                    <xdr:rowOff>289560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8" activePane="bottomLeft" state="frozen"/>
      <selection activeCell="M48" sqref="M48"/>
      <selection pane="bottomLeft" activeCell="G80" sqref="G8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4" ht="16.2" hidden="1" customHeight="1" thickTop="1" thickBot="1" x14ac:dyDescent="0.35">
      <c r="A1" s="110" t="str">
        <f ca="1">MID(CELL("filename",A1),FIND("]",CELL("filename",A1))+1,255)</f>
        <v>VISITOR TYPE DISTRIBUTION</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4" ht="16.2" customHeight="1" thickTop="1" x14ac:dyDescent="0.3">
      <c r="E6" s="449" t="str">
        <f>REP.title1</f>
        <v>STEAM FINAL TREND REPORT FOR 2011-2022</v>
      </c>
      <c r="F6" s="450"/>
      <c r="G6" s="450"/>
      <c r="H6" s="450"/>
      <c r="I6" s="450"/>
      <c r="J6" s="450"/>
      <c r="K6" s="450"/>
      <c r="L6" s="450"/>
      <c r="M6" s="450"/>
      <c r="N6" s="450"/>
      <c r="O6" s="939">
        <f>CHARTYEAR</f>
        <v>2022</v>
      </c>
      <c r="P6" s="940"/>
      <c r="Q6" s="940"/>
      <c r="R6" s="941"/>
      <c r="S6" s="964" t="str">
        <f>UPPER(TOTAL)</f>
        <v>TOTAL</v>
      </c>
      <c r="T6" s="965"/>
      <c r="U6" s="968" t="str">
        <f>IF(REP.indexed="YES","DISTRIBUTION BY VISITOR TYPE"&amp;CHAR(10)&amp;"Indexed","DISTRIBUTION BY VISITOR TYPE"&amp;CHAR(10)&amp;"Historic Prices")</f>
        <v>DISTRIBUTION BY VISITOR TYPE
Indexed</v>
      </c>
      <c r="V6" s="969"/>
      <c r="W6" s="969"/>
      <c r="X6" s="970"/>
    </row>
    <row r="7" spans="1:24" ht="16.2" customHeight="1" thickBot="1" x14ac:dyDescent="0.35">
      <c r="E7" s="451" t="str">
        <f>REP.title2</f>
        <v>CONWY COUNTY BOROUGH COUNCIL</v>
      </c>
      <c r="F7" s="452"/>
      <c r="G7" s="452"/>
      <c r="H7" s="452"/>
      <c r="I7" s="453"/>
      <c r="J7" s="453"/>
      <c r="K7" s="453"/>
      <c r="L7" s="453"/>
      <c r="M7" s="453"/>
      <c r="N7" s="453"/>
      <c r="O7" s="942" t="str">
        <f>IF(REP.indexed="YES",MAX(REP.yearsrange)&amp;" Prices","Historic Prices")</f>
        <v>2022 Prices</v>
      </c>
      <c r="P7" s="943"/>
      <c r="Q7" s="943"/>
      <c r="R7" s="944"/>
      <c r="S7" s="966"/>
      <c r="T7" s="967"/>
      <c r="U7" s="971"/>
      <c r="V7" s="972"/>
      <c r="W7" s="972"/>
      <c r="X7" s="973"/>
    </row>
    <row r="8" spans="1:24" ht="16.2" customHeight="1" thickTop="1" thickBot="1" x14ac:dyDescent="0.35">
      <c r="E8" s="863" t="str">
        <f>IF(REP.indexed="YES","ECONOMIC IMPACT - "&amp;CHARTYEAR&amp;" Indexed - £M","Economic Impact - Historic Prices - £M")&amp;" - Share of Total"</f>
        <v>ECONOMIC IMPACT - 2022 Indexed - £M - Share of Total</v>
      </c>
      <c r="F8" s="864"/>
      <c r="G8" s="864"/>
      <c r="H8" s="864"/>
      <c r="I8" s="864"/>
      <c r="J8" s="864"/>
      <c r="K8" s="864"/>
      <c r="L8" s="864"/>
      <c r="M8" s="864"/>
      <c r="N8" s="864"/>
      <c r="O8" s="926" t="str">
        <f ca="1">PROPER('VISITOR NUMBERS'!$U$6)&amp;" - "&amp;CHARTYEAR&amp;" - M - Share of Total"</f>
        <v>Visitor Numbers - 2022 - M - Share of Total</v>
      </c>
      <c r="P8" s="927"/>
      <c r="Q8" s="927"/>
      <c r="R8" s="927"/>
      <c r="S8" s="927"/>
      <c r="T8" s="927"/>
      <c r="U8" s="927"/>
      <c r="V8" s="927"/>
      <c r="W8" s="927"/>
      <c r="X8" s="928"/>
    </row>
    <row r="9" spans="1:24" s="125" customFormat="1" ht="16.2" customHeight="1" thickTop="1" x14ac:dyDescent="0.3">
      <c r="E9" s="494"/>
      <c r="F9" s="495"/>
      <c r="G9" s="496" t="s">
        <v>143</v>
      </c>
      <c r="H9" s="495" t="s">
        <v>171</v>
      </c>
      <c r="I9" s="495" t="s">
        <v>172</v>
      </c>
      <c r="J9" s="495" t="s">
        <v>55</v>
      </c>
      <c r="K9" s="495"/>
      <c r="L9" s="495"/>
      <c r="M9" s="495"/>
      <c r="N9" s="497"/>
      <c r="O9" s="498"/>
      <c r="P9" s="495"/>
      <c r="Q9" s="495"/>
      <c r="R9" s="495"/>
      <c r="S9" s="495"/>
      <c r="T9" s="495"/>
      <c r="U9" s="495"/>
      <c r="V9" s="495"/>
      <c r="W9" s="495"/>
      <c r="X9" s="497"/>
    </row>
    <row r="10" spans="1:24" s="125" customFormat="1" ht="16.2" customHeight="1" x14ac:dyDescent="0.3">
      <c r="E10" s="499" t="str">
        <f t="array" ref="E10:E14">INDEX(TYPE.choices,{5;6;2;3;4})</f>
        <v>Staying Visitor</v>
      </c>
      <c r="F10" s="500"/>
      <c r="G10" s="501">
        <f>SUM(G12:G14)</f>
        <v>720137.26294586947</v>
      </c>
      <c r="H10" s="501">
        <f t="shared" ref="H10:J10" si="0">SUM(H12:H14)</f>
        <v>11058.674957108293</v>
      </c>
      <c r="I10" s="501">
        <f t="shared" si="0"/>
        <v>2572.8565273706945</v>
      </c>
      <c r="J10" s="501">
        <f t="shared" si="0"/>
        <v>6689.6098042271351</v>
      </c>
      <c r="K10" s="500"/>
      <c r="L10" s="500"/>
      <c r="M10" s="500"/>
      <c r="N10" s="502"/>
      <c r="O10" s="503"/>
      <c r="P10" s="500"/>
      <c r="Q10" s="500"/>
      <c r="R10" s="500"/>
      <c r="S10" s="504"/>
      <c r="T10" s="504"/>
      <c r="U10" s="500"/>
      <c r="V10" s="500"/>
      <c r="W10" s="500"/>
      <c r="X10" s="502"/>
    </row>
    <row r="11" spans="1:24" s="125" customFormat="1" ht="16.2" customHeight="1" x14ac:dyDescent="0.3">
      <c r="E11" s="499" t="str">
        <v>Day Visitor</v>
      </c>
      <c r="F11" s="500"/>
      <c r="G11" s="501">
        <f>VLOOKUP(CHARTYEAR&amp;"."&amp;"ECONOMIC IMPACT"&amp;"."&amp;$E11,REP.data,18,FALSE)*INDEX(REP.indexationfactors,(MATCH(CHARTYEAR,REP.yearsrange,0)))</f>
        <v>377617.27870548255</v>
      </c>
      <c r="H11" s="501">
        <f>VLOOKUP(CHARTYEAR&amp;"."&amp;H$9&amp;"."&amp;$E11,REP.data,18,FALSE)</f>
        <v>6899.2426056732338</v>
      </c>
      <c r="I11" s="501">
        <f>VLOOKUP(CHARTYEAR&amp;"."&amp;I$9&amp;"."&amp;$E11,REP.data,18,FALSE)</f>
        <v>6899.2426056732338</v>
      </c>
      <c r="J11" s="501">
        <f>VLOOKUP(CHARTYEAR&amp;"."&amp;"Employment"&amp;"."&amp;$E11,REP.data,18,FALSE)</f>
        <v>2830.963844487685</v>
      </c>
      <c r="K11" s="500"/>
      <c r="L11" s="500"/>
      <c r="M11" s="504"/>
      <c r="N11" s="505"/>
      <c r="O11" s="506"/>
      <c r="P11" s="504"/>
      <c r="Q11" s="504"/>
      <c r="R11" s="504"/>
      <c r="S11" s="504"/>
      <c r="T11" s="504"/>
      <c r="U11" s="500"/>
      <c r="V11" s="500"/>
      <c r="W11" s="500"/>
      <c r="X11" s="502"/>
    </row>
    <row r="12" spans="1:24" ht="16.2" customHeight="1" x14ac:dyDescent="0.3">
      <c r="E12" s="507" t="str">
        <v>Serviced Accommodation</v>
      </c>
      <c r="F12" s="508"/>
      <c r="G12" s="501">
        <f>VLOOKUP(CHARTYEAR&amp;"."&amp;"ECONOMIC IMPACT"&amp;"."&amp;$E12,REP.data,18,FALSE)*INDEX(REP.indexationfactors,(MATCH(CHARTYEAR,REP.yearsrange,0)))</f>
        <v>221246.19363195536</v>
      </c>
      <c r="H12" s="501">
        <f>VLOOKUP(CHARTYEAR&amp;"."&amp;H$9&amp;"."&amp;$E12,REP.data,18,FALSE)</f>
        <v>1852.3347970701668</v>
      </c>
      <c r="I12" s="501">
        <f>VLOOKUP(CHARTYEAR&amp;"."&amp;I$9&amp;"."&amp;$E12,REP.data,18,FALSE)</f>
        <v>1040.4567309806491</v>
      </c>
      <c r="J12" s="501">
        <f>VLOOKUP(CHARTYEAR&amp;"."&amp;"Employment"&amp;"."&amp;$E12,REP.data,18,FALSE)</f>
        <v>2432.3706615409842</v>
      </c>
      <c r="K12" s="509"/>
      <c r="L12" s="509"/>
      <c r="M12" s="509"/>
      <c r="N12" s="510"/>
      <c r="O12" s="511"/>
      <c r="P12" s="509"/>
      <c r="Q12" s="509"/>
      <c r="R12" s="509"/>
      <c r="S12" s="504"/>
      <c r="T12" s="504"/>
      <c r="U12" s="512"/>
      <c r="V12" s="512"/>
      <c r="W12" s="512"/>
      <c r="X12" s="513"/>
    </row>
    <row r="13" spans="1:24" ht="16.2" customHeight="1" x14ac:dyDescent="0.3">
      <c r="E13" s="499" t="str">
        <v>Non-Serviced Accommodation</v>
      </c>
      <c r="F13" s="500"/>
      <c r="G13" s="501">
        <f>VLOOKUP(CHARTYEAR&amp;"."&amp;"ECONOMIC IMPACT"&amp;"."&amp;$E13,REP.data,18,FALSE)*INDEX(REP.indexationfactors,(MATCH(CHARTYEAR,REP.yearsrange,0)))</f>
        <v>482280.90887302771</v>
      </c>
      <c r="H13" s="501">
        <f>VLOOKUP(CHARTYEAR&amp;"."&amp;H$9&amp;"."&amp;$E13,REP.data,18,FALSE)</f>
        <v>8784.129817561763</v>
      </c>
      <c r="I13" s="501">
        <f>VLOOKUP(CHARTYEAR&amp;"."&amp;I$9&amp;"."&amp;$E13,REP.data,18,FALSE)</f>
        <v>1355.0531698445911</v>
      </c>
      <c r="J13" s="501">
        <f>VLOOKUP(CHARTYEAR&amp;"."&amp;"Employment"&amp;"."&amp;$E13,REP.data,18,FALSE)</f>
        <v>4121.9593861525655</v>
      </c>
      <c r="K13" s="512"/>
      <c r="L13" s="512"/>
      <c r="M13" s="512"/>
      <c r="N13" s="513"/>
      <c r="O13" s="514"/>
      <c r="P13" s="512"/>
      <c r="Q13" s="512"/>
      <c r="R13" s="512"/>
      <c r="S13" s="512"/>
      <c r="T13" s="515"/>
      <c r="U13" s="512"/>
      <c r="V13" s="512"/>
      <c r="W13" s="512"/>
      <c r="X13" s="513"/>
    </row>
    <row r="14" spans="1:24" ht="16.2" customHeight="1" x14ac:dyDescent="0.3">
      <c r="E14" s="516" t="str">
        <v>SFR</v>
      </c>
      <c r="F14" s="509"/>
      <c r="G14" s="501">
        <f>VLOOKUP(CHARTYEAR&amp;"."&amp;"ECONOMIC IMPACT"&amp;"."&amp;$E14,REP.data,18,FALSE)*INDEX(REP.indexationfactors,(MATCH(CHARTYEAR,REP.yearsrange,0)))</f>
        <v>16610.160440886444</v>
      </c>
      <c r="H14" s="501">
        <f>VLOOKUP(CHARTYEAR&amp;"."&amp;H$9&amp;"."&amp;$E14,REP.data,18,FALSE)</f>
        <v>422.21034247636356</v>
      </c>
      <c r="I14" s="501">
        <f>VLOOKUP(CHARTYEAR&amp;"."&amp;I$9&amp;"."&amp;$E14,REP.data,18,FALSE)</f>
        <v>177.34662654545451</v>
      </c>
      <c r="J14" s="501">
        <f>VLOOKUP(CHARTYEAR&amp;"."&amp;"Employment"&amp;"."&amp;$E14,REP.data,18,FALSE)</f>
        <v>135.27975653358567</v>
      </c>
      <c r="K14" s="512"/>
      <c r="L14" s="512"/>
      <c r="M14" s="512"/>
      <c r="N14" s="513"/>
      <c r="O14" s="514"/>
      <c r="P14" s="512"/>
      <c r="Q14" s="512"/>
      <c r="R14" s="512"/>
      <c r="S14" s="512"/>
      <c r="T14" s="515"/>
      <c r="U14" s="512"/>
      <c r="V14" s="512"/>
      <c r="W14" s="512"/>
      <c r="X14" s="513"/>
    </row>
    <row r="15" spans="1:24" ht="16.2" customHeight="1" x14ac:dyDescent="0.3">
      <c r="E15" s="516" t="str">
        <f>E11</f>
        <v>Day Visitor</v>
      </c>
      <c r="F15" s="509"/>
      <c r="G15" s="501">
        <f>VLOOKUP(CHARTYEAR&amp;"."&amp;"ECONOMIC IMPACT"&amp;"."&amp;$E15,REP.data,18,FALSE)*INDEX(REP.indexationfactors,(MATCH(CHARTYEAR,REP.yearsrange,0)))</f>
        <v>377617.27870548255</v>
      </c>
      <c r="H15" s="501">
        <f>VLOOKUP(CHARTYEAR&amp;"."&amp;H$9&amp;"."&amp;$E15,REP.data,18,FALSE)</f>
        <v>6899.2426056732338</v>
      </c>
      <c r="I15" s="501">
        <f>VLOOKUP(CHARTYEAR&amp;"."&amp;I$9&amp;"."&amp;$E15,REP.data,18,FALSE)</f>
        <v>6899.2426056732338</v>
      </c>
      <c r="J15" s="501">
        <f>VLOOKUP(CHARTYEAR&amp;"."&amp;"Employment"&amp;"."&amp;$E15,REP.data,18,FALSE)</f>
        <v>2830.963844487685</v>
      </c>
      <c r="K15" s="512"/>
      <c r="L15" s="512"/>
      <c r="M15" s="512"/>
      <c r="N15" s="513"/>
      <c r="O15" s="514"/>
      <c r="P15" s="512"/>
      <c r="Q15" s="512"/>
      <c r="R15" s="512"/>
      <c r="S15" s="512"/>
      <c r="T15" s="515"/>
      <c r="U15" s="512"/>
      <c r="V15" s="512"/>
      <c r="W15" s="512"/>
      <c r="X15" s="513"/>
    </row>
    <row r="16" spans="1:24" ht="16.2" customHeight="1" thickBot="1" x14ac:dyDescent="0.35">
      <c r="E16" s="517"/>
      <c r="F16" s="518"/>
      <c r="G16" s="518"/>
      <c r="H16" s="518"/>
      <c r="I16" s="518"/>
      <c r="J16" s="518"/>
      <c r="K16" s="518"/>
      <c r="L16" s="518"/>
      <c r="M16" s="518"/>
      <c r="N16" s="519"/>
      <c r="O16" s="520"/>
      <c r="P16" s="518"/>
      <c r="Q16" s="518"/>
      <c r="R16" s="518"/>
      <c r="S16" s="518"/>
      <c r="T16" s="518"/>
      <c r="U16" s="518"/>
      <c r="V16" s="518"/>
      <c r="W16" s="518"/>
      <c r="X16" s="519"/>
    </row>
    <row r="17" spans="4:24" ht="16.2" customHeight="1" thickTop="1" x14ac:dyDescent="0.3">
      <c r="E17" s="499"/>
      <c r="F17" s="500"/>
      <c r="G17" s="521" t="str">
        <f>"TOTAL"&amp;CHAR(10)&amp;"£"&amp;TEXT(SUM(G12:G15),"#,##0.00,")&amp;"m"</f>
        <v>TOTAL
£1,097.75m</v>
      </c>
      <c r="H17" s="521" t="str">
        <f>"TOTAL"&amp;CHAR(10)&amp;TEXT(SUM(H12:H15),"#,##0.00,")&amp;"m"</f>
        <v>TOTAL
17.96m</v>
      </c>
      <c r="I17" s="521" t="str">
        <f>"TOTAL"&amp;CHAR(10)&amp;TEXT(SUM(I12:I15),"#,##0.00,")&amp;"m"</f>
        <v>TOTAL
9.47m</v>
      </c>
      <c r="J17" s="521" t="str">
        <f>"TOTAL"&amp;CHAR(10)&amp;TEXT(SUM(J12:J15),"#,##0")&amp;" Direct FTEs"&amp;CHAR(10)&amp;TEXT(VLOOKUP(CHARTYEAR&amp;"."&amp;"Employment"&amp;"."&amp;TOTAL,REP.data,18,FALSE),"#,##0")&amp;" Total FTEs"</f>
        <v>TOTAL
9,521 Direct FTEs
11,871 Total FTEs</v>
      </c>
      <c r="K17" s="512"/>
      <c r="L17" s="512"/>
      <c r="M17" s="512"/>
      <c r="N17" s="513"/>
      <c r="O17" s="514"/>
      <c r="P17" s="512"/>
      <c r="Q17" s="512"/>
      <c r="R17" s="512"/>
      <c r="S17" s="512"/>
      <c r="T17" s="515"/>
      <c r="U17" s="512"/>
      <c r="V17" s="512"/>
      <c r="W17" s="512"/>
      <c r="X17" s="513"/>
    </row>
    <row r="18" spans="4:24" ht="16.2" customHeight="1" x14ac:dyDescent="0.3">
      <c r="E18" s="516"/>
      <c r="F18" s="509"/>
      <c r="G18" s="522"/>
      <c r="H18" s="522"/>
      <c r="I18" s="522"/>
      <c r="J18" s="522"/>
      <c r="K18" s="522"/>
      <c r="L18" s="522"/>
      <c r="M18" s="522"/>
      <c r="N18" s="523"/>
      <c r="O18" s="524"/>
      <c r="P18" s="522"/>
      <c r="Q18" s="522"/>
      <c r="R18" s="522"/>
      <c r="S18" s="522"/>
      <c r="T18" s="512"/>
      <c r="U18" s="522"/>
      <c r="V18" s="522"/>
      <c r="W18" s="522"/>
      <c r="X18" s="523"/>
    </row>
    <row r="19" spans="4:24" ht="16.2" customHeight="1" x14ac:dyDescent="0.3">
      <c r="E19" s="516"/>
      <c r="F19" s="509"/>
      <c r="G19" s="522"/>
      <c r="H19" s="522"/>
      <c r="I19" s="522"/>
      <c r="J19" s="522"/>
      <c r="K19" s="522"/>
      <c r="L19" s="522"/>
      <c r="M19" s="522"/>
      <c r="N19" s="523"/>
      <c r="O19" s="524"/>
      <c r="P19" s="522"/>
      <c r="Q19" s="522"/>
      <c r="R19" s="522"/>
      <c r="S19" s="522"/>
      <c r="T19" s="512"/>
      <c r="U19" s="522"/>
      <c r="V19" s="522"/>
      <c r="W19" s="522"/>
      <c r="X19" s="523"/>
    </row>
    <row r="20" spans="4:24" ht="16.2" customHeight="1" x14ac:dyDescent="0.3">
      <c r="E20" s="516"/>
      <c r="F20" s="509"/>
      <c r="G20" s="522"/>
      <c r="H20" s="522"/>
      <c r="I20" s="522"/>
      <c r="J20" s="522"/>
      <c r="K20" s="522"/>
      <c r="L20" s="522"/>
      <c r="M20" s="522"/>
      <c r="N20" s="523"/>
      <c r="O20" s="524"/>
      <c r="P20" s="522"/>
      <c r="Q20" s="522"/>
      <c r="R20" s="522"/>
      <c r="S20" s="522"/>
      <c r="T20" s="512"/>
      <c r="U20" s="522"/>
      <c r="V20" s="522"/>
      <c r="W20" s="522"/>
      <c r="X20" s="523"/>
    </row>
    <row r="21" spans="4:24" ht="16.2" customHeight="1" x14ac:dyDescent="0.3">
      <c r="E21" s="507"/>
      <c r="F21" s="508"/>
      <c r="G21" s="508"/>
      <c r="H21" s="508"/>
      <c r="I21" s="508"/>
      <c r="J21" s="508"/>
      <c r="K21" s="508"/>
      <c r="L21" s="508"/>
      <c r="M21" s="508"/>
      <c r="N21" s="525"/>
      <c r="O21" s="526"/>
      <c r="P21" s="508"/>
      <c r="Q21" s="508"/>
      <c r="R21" s="508"/>
      <c r="S21" s="508"/>
      <c r="T21" s="508"/>
      <c r="U21" s="508"/>
      <c r="V21" s="508"/>
      <c r="W21" s="508"/>
      <c r="X21" s="525"/>
    </row>
    <row r="22" spans="4:24" ht="16.2" customHeight="1" thickBot="1" x14ac:dyDescent="0.35">
      <c r="E22" s="517"/>
      <c r="F22" s="518"/>
      <c r="G22" s="518"/>
      <c r="H22" s="518"/>
      <c r="I22" s="518"/>
      <c r="J22" s="518"/>
      <c r="K22" s="518"/>
      <c r="L22" s="518"/>
      <c r="M22" s="518"/>
      <c r="N22" s="519"/>
      <c r="O22" s="520"/>
      <c r="P22" s="518"/>
      <c r="Q22" s="518"/>
      <c r="R22" s="518"/>
      <c r="S22" s="518"/>
      <c r="T22" s="518"/>
      <c r="U22" s="518"/>
      <c r="V22" s="518"/>
      <c r="W22" s="518"/>
      <c r="X22" s="519"/>
    </row>
    <row r="23" spans="4:24" ht="16.2" customHeight="1" thickTop="1" thickBot="1" x14ac:dyDescent="0.35">
      <c r="E23" s="947" t="str">
        <f ca="1">PROPER('VISITOR DAYS'!$U$6)&amp;" - "&amp;CHARTYEAR&amp;" - M - Share of Total"</f>
        <v>Visitor Days - 2022 - M - Share of Total</v>
      </c>
      <c r="F23" s="948"/>
      <c r="G23" s="948"/>
      <c r="H23" s="948"/>
      <c r="I23" s="948"/>
      <c r="J23" s="948"/>
      <c r="K23" s="948"/>
      <c r="L23" s="948"/>
      <c r="M23" s="948"/>
      <c r="N23" s="948"/>
      <c r="O23" s="949" t="str">
        <f>"Direct Employment Supported - "&amp;CHARTYEAR&amp;" - FTEs - Share of Total"</f>
        <v>Direct Employment Supported - 2022 - FTEs - Share of Total</v>
      </c>
      <c r="P23" s="950"/>
      <c r="Q23" s="950"/>
      <c r="R23" s="950"/>
      <c r="S23" s="950"/>
      <c r="T23" s="950"/>
      <c r="U23" s="950"/>
      <c r="V23" s="950"/>
      <c r="W23" s="950"/>
      <c r="X23" s="951"/>
    </row>
    <row r="24" spans="4:24" ht="16.2" customHeight="1" thickTop="1" x14ac:dyDescent="0.3">
      <c r="E24" s="433"/>
      <c r="F24" s="434"/>
      <c r="G24" s="434"/>
      <c r="H24" s="434"/>
      <c r="I24" s="434"/>
      <c r="J24" s="434"/>
      <c r="K24" s="434"/>
      <c r="L24" s="434"/>
      <c r="M24" s="423"/>
      <c r="N24" s="424"/>
      <c r="O24" s="433"/>
      <c r="P24" s="434"/>
      <c r="Q24" s="434"/>
      <c r="R24" s="434"/>
      <c r="S24" s="434"/>
      <c r="T24" s="434"/>
      <c r="U24" s="434"/>
      <c r="V24" s="434"/>
      <c r="W24" s="423"/>
      <c r="X24" s="424"/>
    </row>
    <row r="25" spans="4:24" ht="16.2" customHeight="1" x14ac:dyDescent="0.3">
      <c r="E25" s="151"/>
      <c r="F25" s="152"/>
      <c r="G25" s="421"/>
      <c r="H25" s="421"/>
      <c r="I25" s="421"/>
      <c r="J25" s="421"/>
      <c r="K25" s="421"/>
      <c r="L25" s="421"/>
      <c r="M25" s="412"/>
      <c r="N25" s="428"/>
      <c r="O25" s="151"/>
      <c r="P25" s="152"/>
      <c r="Q25" s="421"/>
      <c r="R25" s="421"/>
      <c r="S25" s="421"/>
      <c r="T25" s="421"/>
      <c r="U25" s="421"/>
      <c r="V25" s="421"/>
      <c r="W25" s="412"/>
      <c r="X25" s="428"/>
    </row>
    <row r="26" spans="4:24" ht="16.2" customHeight="1" x14ac:dyDescent="0.3">
      <c r="E26" s="247"/>
      <c r="F26" s="248"/>
      <c r="G26" s="159"/>
      <c r="H26" s="159"/>
      <c r="I26" s="159"/>
      <c r="J26" s="159"/>
      <c r="K26" s="159"/>
      <c r="L26" s="159"/>
      <c r="M26" s="415"/>
      <c r="N26" s="422"/>
      <c r="O26" s="247"/>
      <c r="P26" s="248"/>
      <c r="Q26" s="159"/>
      <c r="R26" s="159"/>
      <c r="S26" s="159"/>
      <c r="T26" s="159"/>
      <c r="U26" s="159"/>
      <c r="V26" s="159"/>
      <c r="W26" s="415"/>
      <c r="X26" s="422"/>
    </row>
    <row r="27" spans="4:24" ht="16.2" customHeight="1" x14ac:dyDescent="0.3">
      <c r="E27" s="247"/>
      <c r="F27" s="248"/>
      <c r="G27" s="159"/>
      <c r="H27" s="159"/>
      <c r="I27" s="159"/>
      <c r="J27" s="159"/>
      <c r="K27" s="159"/>
      <c r="L27" s="159"/>
      <c r="M27" s="415"/>
      <c r="N27" s="422"/>
      <c r="O27" s="247"/>
      <c r="P27" s="248"/>
      <c r="Q27" s="159"/>
      <c r="R27" s="159"/>
      <c r="S27" s="159"/>
      <c r="T27" s="159"/>
      <c r="U27" s="159"/>
      <c r="V27" s="159"/>
      <c r="W27" s="415"/>
      <c r="X27" s="422"/>
    </row>
    <row r="28" spans="4:24" ht="16.2" customHeight="1" x14ac:dyDescent="0.3">
      <c r="D28" s="196"/>
      <c r="E28" s="247"/>
      <c r="F28" s="248"/>
      <c r="G28" s="159"/>
      <c r="H28" s="159"/>
      <c r="I28" s="159"/>
      <c r="J28" s="159"/>
      <c r="K28" s="159"/>
      <c r="L28" s="159"/>
      <c r="M28" s="415"/>
      <c r="N28" s="422"/>
      <c r="O28" s="247"/>
      <c r="P28" s="248"/>
      <c r="Q28" s="159"/>
      <c r="R28" s="159"/>
      <c r="S28" s="159"/>
      <c r="T28" s="159"/>
      <c r="U28" s="159"/>
      <c r="V28" s="159"/>
      <c r="W28" s="415"/>
      <c r="X28" s="422"/>
    </row>
    <row r="29" spans="4:24" ht="16.2" customHeight="1" x14ac:dyDescent="0.3">
      <c r="D29" s="196"/>
      <c r="E29" s="435"/>
      <c r="F29" s="412"/>
      <c r="G29" s="418"/>
      <c r="H29" s="418"/>
      <c r="I29" s="418"/>
      <c r="J29" s="418"/>
      <c r="K29" s="418"/>
      <c r="L29" s="418"/>
      <c r="M29" s="417"/>
      <c r="N29" s="419"/>
      <c r="O29" s="435"/>
      <c r="P29" s="412"/>
      <c r="Q29" s="418"/>
      <c r="R29" s="418"/>
      <c r="S29" s="418"/>
      <c r="T29" s="418"/>
      <c r="U29" s="418"/>
      <c r="V29" s="418"/>
      <c r="W29" s="417"/>
      <c r="X29" s="419"/>
    </row>
    <row r="30" spans="4:24" ht="16.2" customHeight="1" x14ac:dyDescent="0.3">
      <c r="D30" s="196"/>
      <c r="E30" s="435"/>
      <c r="F30" s="412"/>
      <c r="G30" s="418"/>
      <c r="H30" s="418"/>
      <c r="I30" s="418"/>
      <c r="J30" s="418"/>
      <c r="K30" s="418"/>
      <c r="L30" s="418"/>
      <c r="M30" s="417"/>
      <c r="N30" s="419"/>
      <c r="O30" s="435"/>
      <c r="P30" s="412"/>
      <c r="Q30" s="418"/>
      <c r="R30" s="418"/>
      <c r="S30" s="418"/>
      <c r="T30" s="418"/>
      <c r="U30" s="418"/>
      <c r="V30" s="418"/>
      <c r="W30" s="417"/>
      <c r="X30" s="419"/>
    </row>
    <row r="31" spans="4:24" ht="16.2" customHeight="1" x14ac:dyDescent="0.3">
      <c r="D31" s="196"/>
      <c r="E31" s="435"/>
      <c r="F31" s="412"/>
      <c r="G31" s="418"/>
      <c r="H31" s="418"/>
      <c r="I31" s="418"/>
      <c r="J31" s="418"/>
      <c r="K31" s="418"/>
      <c r="L31" s="418"/>
      <c r="M31" s="417"/>
      <c r="N31" s="419"/>
      <c r="O31" s="435"/>
      <c r="P31" s="412"/>
      <c r="Q31" s="418"/>
      <c r="R31" s="418"/>
      <c r="S31" s="418"/>
      <c r="T31" s="418"/>
      <c r="U31" s="418"/>
      <c r="V31" s="418"/>
      <c r="W31" s="417"/>
      <c r="X31" s="419"/>
    </row>
    <row r="32" spans="4:24" ht="16.2" customHeight="1" x14ac:dyDescent="0.3">
      <c r="D32" s="196"/>
      <c r="E32" s="435"/>
      <c r="F32" s="412"/>
      <c r="G32" s="418"/>
      <c r="H32" s="418"/>
      <c r="I32" s="418"/>
      <c r="J32" s="418"/>
      <c r="K32" s="418"/>
      <c r="L32" s="418"/>
      <c r="M32" s="417"/>
      <c r="N32" s="419"/>
      <c r="O32" s="435"/>
      <c r="P32" s="412"/>
      <c r="Q32" s="418"/>
      <c r="R32" s="418"/>
      <c r="S32" s="418"/>
      <c r="T32" s="418"/>
      <c r="U32" s="418"/>
      <c r="V32" s="418"/>
      <c r="W32" s="417"/>
      <c r="X32" s="419"/>
    </row>
    <row r="33" spans="1:30" ht="16.2" customHeight="1" x14ac:dyDescent="0.3">
      <c r="D33" s="196"/>
      <c r="E33" s="142"/>
      <c r="F33" s="143"/>
      <c r="G33" s="436"/>
      <c r="H33" s="436"/>
      <c r="I33" s="437"/>
      <c r="J33" s="437"/>
      <c r="K33" s="437"/>
      <c r="L33" s="437"/>
      <c r="M33" s="437"/>
      <c r="N33" s="438"/>
      <c r="O33" s="439"/>
      <c r="P33" s="437"/>
      <c r="Q33" s="437"/>
      <c r="R33" s="437"/>
      <c r="S33" s="418"/>
      <c r="T33" s="440"/>
      <c r="U33" s="440"/>
      <c r="V33" s="440"/>
      <c r="W33" s="440"/>
      <c r="X33" s="441"/>
    </row>
    <row r="34" spans="1:30" ht="16.2" customHeight="1" x14ac:dyDescent="0.3">
      <c r="D34" s="196"/>
      <c r="E34" s="442"/>
      <c r="F34" s="443"/>
      <c r="G34" s="159"/>
      <c r="H34" s="159"/>
      <c r="I34" s="159"/>
      <c r="J34" s="159"/>
      <c r="K34" s="159"/>
      <c r="L34" s="159"/>
      <c r="M34" s="159"/>
      <c r="N34" s="416"/>
      <c r="O34" s="420"/>
      <c r="P34" s="159"/>
      <c r="Q34" s="159"/>
      <c r="R34" s="159"/>
      <c r="S34" s="418"/>
      <c r="T34" s="440"/>
      <c r="U34" s="440"/>
      <c r="V34" s="440"/>
      <c r="W34" s="440"/>
      <c r="X34" s="441"/>
    </row>
    <row r="35" spans="1:30" ht="16.2" customHeight="1" x14ac:dyDescent="0.3">
      <c r="D35" s="196"/>
      <c r="E35" s="442"/>
      <c r="F35" s="443"/>
      <c r="G35" s="159"/>
      <c r="H35" s="159"/>
      <c r="I35" s="159"/>
      <c r="J35" s="159"/>
      <c r="K35" s="159"/>
      <c r="L35" s="159"/>
      <c r="M35" s="159"/>
      <c r="N35" s="416"/>
      <c r="O35" s="420"/>
      <c r="P35" s="159"/>
      <c r="Q35" s="159"/>
      <c r="R35" s="159"/>
      <c r="S35" s="418"/>
      <c r="T35" s="418"/>
      <c r="U35" s="418"/>
      <c r="V35" s="418"/>
      <c r="W35" s="417"/>
      <c r="X35" s="419"/>
    </row>
    <row r="36" spans="1:30" ht="16.2" customHeight="1" x14ac:dyDescent="0.3">
      <c r="D36" s="196"/>
      <c r="E36" s="442"/>
      <c r="F36" s="443"/>
      <c r="G36" s="159"/>
      <c r="H36" s="159"/>
      <c r="I36" s="159"/>
      <c r="J36" s="159"/>
      <c r="K36" s="159"/>
      <c r="L36" s="159"/>
      <c r="M36" s="159"/>
      <c r="N36" s="416"/>
      <c r="O36" s="420"/>
      <c r="P36" s="159"/>
      <c r="Q36" s="159"/>
      <c r="R36" s="159"/>
      <c r="S36" s="418"/>
      <c r="T36" s="418"/>
      <c r="U36" s="418"/>
      <c r="V36" s="418"/>
      <c r="W36" s="417"/>
      <c r="X36" s="419"/>
    </row>
    <row r="37" spans="1:30" s="174" customFormat="1" ht="16.2" customHeight="1" thickBot="1" x14ac:dyDescent="0.35">
      <c r="A37" s="111"/>
      <c r="B37" s="111"/>
      <c r="C37" s="111"/>
      <c r="D37" s="196"/>
      <c r="E37" s="444"/>
      <c r="F37" s="445"/>
      <c r="G37" s="446"/>
      <c r="H37" s="446"/>
      <c r="I37" s="446"/>
      <c r="J37" s="446"/>
      <c r="K37" s="446"/>
      <c r="L37" s="446"/>
      <c r="M37" s="446"/>
      <c r="N37" s="447"/>
      <c r="O37" s="448"/>
      <c r="P37" s="446"/>
      <c r="Q37" s="446"/>
      <c r="R37" s="446"/>
      <c r="S37" s="276"/>
      <c r="T37" s="276"/>
      <c r="U37" s="276"/>
      <c r="V37" s="276"/>
      <c r="W37" s="277"/>
      <c r="X37" s="278"/>
      <c r="Y37" s="111"/>
      <c r="Z37" s="111"/>
      <c r="AA37" s="111"/>
      <c r="AB37" s="111"/>
      <c r="AC37" s="111"/>
      <c r="AD37" s="111"/>
    </row>
    <row r="38" spans="1:30" ht="16.2" customHeight="1" thickTop="1" thickBot="1" x14ac:dyDescent="0.2">
      <c r="A38" s="174"/>
      <c r="B38" s="174"/>
      <c r="C38" s="174"/>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c r="Y38" s="174"/>
      <c r="Z38" s="174"/>
      <c r="AA38" s="174"/>
      <c r="AB38" s="174"/>
      <c r="AC38" s="174"/>
      <c r="AD38" s="174"/>
    </row>
    <row r="39" spans="1:30" ht="16.2" customHeight="1" thickTop="1" x14ac:dyDescent="0.3"/>
    <row r="40" spans="1:30" ht="16.2" customHeight="1" x14ac:dyDescent="0.3">
      <c r="G40" s="240"/>
      <c r="H40" s="240"/>
      <c r="I40" s="240"/>
      <c r="J40" s="240"/>
      <c r="K40" s="240"/>
      <c r="L40" s="240"/>
      <c r="M40" s="240"/>
      <c r="N40" s="240"/>
      <c r="O40" s="240"/>
      <c r="P40" s="240"/>
      <c r="Q40" s="240"/>
      <c r="R40" s="240"/>
      <c r="S40" s="240"/>
      <c r="T40" s="240"/>
      <c r="U40" s="240"/>
      <c r="V40" s="240"/>
    </row>
    <row r="41" spans="1:30" ht="45" customHeight="1" x14ac:dyDescent="0.3">
      <c r="G41" s="240"/>
      <c r="H41" s="240"/>
      <c r="I41" s="240"/>
      <c r="J41" s="240"/>
      <c r="K41" s="240"/>
      <c r="L41" s="240"/>
      <c r="M41" s="240"/>
      <c r="N41" s="240"/>
      <c r="O41" s="240"/>
      <c r="P41" s="240"/>
      <c r="Q41" s="240"/>
      <c r="R41" s="240"/>
      <c r="S41" s="240"/>
      <c r="T41" s="240"/>
      <c r="U41" s="240"/>
      <c r="V41" s="240"/>
    </row>
    <row r="76" spans="5:11" ht="16.2" customHeight="1" thickBot="1" x14ac:dyDescent="0.35"/>
    <row r="77" spans="5:11" ht="16.2" customHeight="1" thickBot="1" x14ac:dyDescent="0.35">
      <c r="E77" s="460"/>
      <c r="F77" s="460"/>
      <c r="G77" s="461" t="s">
        <v>144</v>
      </c>
      <c r="H77" s="462" t="s">
        <v>145</v>
      </c>
      <c r="I77" s="463" t="s">
        <v>145</v>
      </c>
      <c r="J77" s="464" t="s">
        <v>59</v>
      </c>
      <c r="K77" s="460"/>
    </row>
    <row r="78" spans="5:11" ht="16.2" customHeight="1" thickBot="1" x14ac:dyDescent="0.35">
      <c r="E78" s="465" t="s">
        <v>110</v>
      </c>
      <c r="F78" s="465"/>
      <c r="G78" s="466">
        <f t="shared" ref="G78:J80" si="1">G12</f>
        <v>221246.19363195536</v>
      </c>
      <c r="H78" s="466">
        <f t="shared" si="1"/>
        <v>1852.3347970701668</v>
      </c>
      <c r="I78" s="466">
        <f t="shared" si="1"/>
        <v>1040.4567309806491</v>
      </c>
      <c r="J78" s="467">
        <f t="shared" si="1"/>
        <v>2432.3706615409842</v>
      </c>
      <c r="K78" s="465"/>
    </row>
    <row r="79" spans="5:11" ht="16.2" customHeight="1" thickBot="1" x14ac:dyDescent="0.35">
      <c r="E79" s="468" t="s">
        <v>111</v>
      </c>
      <c r="F79" s="468"/>
      <c r="G79" s="469">
        <f t="shared" si="1"/>
        <v>482280.90887302771</v>
      </c>
      <c r="H79" s="469">
        <f t="shared" si="1"/>
        <v>8784.129817561763</v>
      </c>
      <c r="I79" s="469">
        <f t="shared" si="1"/>
        <v>1355.0531698445911</v>
      </c>
      <c r="J79" s="470">
        <f t="shared" si="1"/>
        <v>4121.9593861525655</v>
      </c>
      <c r="K79" s="468"/>
    </row>
    <row r="80" spans="5:11" ht="16.2" customHeight="1" thickBot="1" x14ac:dyDescent="0.35">
      <c r="E80" s="471" t="s">
        <v>18</v>
      </c>
      <c r="F80" s="471"/>
      <c r="G80" s="472">
        <f t="shared" si="1"/>
        <v>16610.160440886444</v>
      </c>
      <c r="H80" s="472">
        <f t="shared" si="1"/>
        <v>422.21034247636356</v>
      </c>
      <c r="I80" s="472">
        <f t="shared" si="1"/>
        <v>177.34662654545451</v>
      </c>
      <c r="J80" s="473">
        <f t="shared" si="1"/>
        <v>135.27975653358567</v>
      </c>
      <c r="K80" s="471"/>
    </row>
    <row r="81" spans="5:11" ht="16.2" customHeight="1" thickBot="1" x14ac:dyDescent="0.35">
      <c r="E81" s="474" t="s">
        <v>140</v>
      </c>
      <c r="F81" s="474"/>
      <c r="G81" s="475">
        <f t="shared" ref="G81:J82" si="2">G10</f>
        <v>720137.26294586947</v>
      </c>
      <c r="H81" s="475">
        <f t="shared" si="2"/>
        <v>11058.674957108293</v>
      </c>
      <c r="I81" s="475">
        <f t="shared" si="2"/>
        <v>2572.8565273706945</v>
      </c>
      <c r="J81" s="476">
        <f t="shared" si="2"/>
        <v>6689.6098042271351</v>
      </c>
      <c r="K81" s="474"/>
    </row>
    <row r="82" spans="5:11" ht="16.2" customHeight="1" thickBot="1" x14ac:dyDescent="0.35">
      <c r="E82" s="477" t="s">
        <v>71</v>
      </c>
      <c r="F82" s="477"/>
      <c r="G82" s="478">
        <f t="shared" si="2"/>
        <v>377617.27870548255</v>
      </c>
      <c r="H82" s="478">
        <f t="shared" si="2"/>
        <v>6899.2426056732338</v>
      </c>
      <c r="I82" s="478">
        <f t="shared" si="2"/>
        <v>6899.2426056732338</v>
      </c>
      <c r="J82" s="479">
        <f t="shared" si="2"/>
        <v>2830.963844487685</v>
      </c>
      <c r="K82" s="477"/>
    </row>
    <row r="83" spans="5:11" ht="16.2" customHeight="1" thickBot="1" x14ac:dyDescent="0.35">
      <c r="E83" s="480" t="s">
        <v>54</v>
      </c>
      <c r="F83" s="480"/>
      <c r="G83" s="481">
        <f>SUM(G81:G82)</f>
        <v>1097754.5416513521</v>
      </c>
      <c r="H83" s="481">
        <f t="shared" ref="H83:J83" si="3">SUM(H81:H82)</f>
        <v>17957.917562781528</v>
      </c>
      <c r="I83" s="481">
        <f t="shared" si="3"/>
        <v>9472.0991330439283</v>
      </c>
      <c r="J83" s="482">
        <f t="shared" si="3"/>
        <v>9520.5736487148206</v>
      </c>
      <c r="K83" s="480"/>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 Report CON 2022</dc:title>
  <dc:subject>@Title</dc:subject>
  <dc:creator>© Global Tourism Solutions (UK) Ltd</dc:creator>
  <cp:keywords>
  </cp:keywords>
  <dc:description>Printed to PDF Mon 14 Aug 2023 by Cathryn James</dc:description>
  <cp:lastModifiedBy>Dr System Administrator</cp:lastModifiedBy>
  <cp:revision>1</cp:revision>
  <cp:lastPrinted>2015-02-17T20:43:29Z</cp:lastPrinted>
  <dcterms:created xsi:type="dcterms:W3CDTF">2013-04-08T07:23:50Z</dcterms:created>
  <dcterms:modified xsi:type="dcterms:W3CDTF">2023-08-21T15:06:52Z</dcterms:modified>
  <cp:contentStatus>Added 2016 Index Table</cp:contentStatus>
</cp:coreProperties>
</file>