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harts/chart9.xml" ContentType="application/vnd.openxmlformats-officedocument.drawingml.chart+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trlProps/ctrlProp14.xml" ContentType="application/vnd.ms-excel.controlproperties+xml"/>
  <Override PartName="/xl/ctrlProps/ctrlProp15.xml" ContentType="application/vnd.ms-excel.controlpropertie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xml" ContentType="application/vnd.openxmlformats-officedocument.drawing+xml"/>
  <Override PartName="/xl/ctrlProps/ctrlProp16.xml" ContentType="application/vnd.ms-excel.controlproperties+xml"/>
  <Override PartName="/xl/ctrlProps/ctrlProp17.xml" ContentType="application/vnd.ms-excel.controlproperti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0.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7.xml" ContentType="application/vnd.openxmlformats-officedocument.themeOverride+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8.xml" ContentType="application/vnd.openxmlformats-officedocument.themeOverride+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charts/chart2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0.xml" ContentType="application/vnd.openxmlformats-officedocument.themeOverride+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charts/chart30.xml" ContentType="application/vnd.openxmlformats-officedocument.drawingml.chart+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ml.chartshapes+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x:workbook xmlns:x15ac="http://schemas.microsoft.com/office/spreadsheetml/2010/11/ac" xmlns:x14="http://schemas.microsoft.com/office/spreadsheetml/2009/9/main"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6731"/>
  <x:workbookPr codeName="ThisWorkbook" defaultThemeVersion="124226"/>
  <mc:AlternateContent xmlns:mc="http://schemas.openxmlformats.org/markup-compatibility/2006">
    <mc:Choice Requires="x15">
      <x15ac:absPath xmlns:x15ac="http://schemas.microsoft.com/office/spreadsheetml/2010/11/ac" url="Z:\STM\WLS\NWL\ALLNWL\22\CC\NWL Final 05-Sep-23\"/>
    </mc:Choice>
  </mc:AlternateContent>
  <xr:revisionPtr revIDLastSave="0" documentId="13_ncr:1_{1F91E770-C3BF-43FB-B82D-5A0642F61340}" xr6:coauthVersionLast="47" xr6:coauthVersionMax="47" xr10:uidLastSave="{00000000-0000-0000-0000-000000000000}"/>
  <x:bookViews>
    <x:workbookView showSheetTabs="0" xWindow="-108" yWindow="-108" windowWidth="23256" windowHeight="12576" tabRatio="758" firstSheet="4" activeTab="4" xr2:uid="{00000000-000D-0000-FFFF-FFFF00000000}"/>
  </x:bookViews>
  <x:sheets>
    <x:sheet name="RPI13" sheetId="74" state="veryHidden" r:id="rId1"/>
    <x:sheet name="GTS_SHEET" sheetId="1" state="veryHidden" r:id="rId2"/>
    <x:sheet name="PB" sheetId="71" state="veryHidden" r:id="rId3"/>
    <x:sheet name="ANNEX" sheetId="72" state="veryHidden" r:id="rId4"/>
    <x:sheet name="HOME" sheetId="60" r:id="rId5"/>
    <x:sheet name="USER GUIDE" sheetId="69" r:id="rId6"/>
    <x:sheet name="COMPARATIVE HEADLINES" sheetId="56" r:id="rId7"/>
    <x:sheet name="KEY MEASURES" sheetId="63" r:id="rId8"/>
    <x:sheet name="VISITOR TYPE DISTRIBUTION" sheetId="66" r:id="rId9"/>
    <x:sheet name="MONTHLY DISTRIBUTION" sheetId="67" r:id="rId10"/>
    <x:sheet name="ECONOMIC IMPACT" sheetId="55" r:id="rId11"/>
    <x:sheet name="VISITOR NUMBERS" sheetId="58" r:id="rId12"/>
    <x:sheet name="VISITOR DAYS" sheetId="57" r:id="rId13"/>
    <x:sheet name="EMPLOYMENT" sheetId="59" r:id="rId14"/>
    <x:sheet name="ACCOMMODATION SUPPLY" sheetId="68" r:id="rId15"/>
    <x:sheet name="SECTORAL ANALYSIS" sheetId="61" r:id="rId16"/>
    <x:sheet name="COVER" sheetId="62" r:id="rId17"/>
    <x:sheet name="CONTENTS" sheetId="73" r:id="rId18"/>
    <x:sheet name="DATA" sheetId="65" r:id="rId19"/>
    <x:sheet name="LINKS" sheetId="75" state="veryHidden" r:id="rId20"/>
  </x:sheets>
  <x:definedNames>
    <x:definedName name="_xlnm._FilterDatabase" localSheetId="18" hidden="1">DATA!$A$8:$U$992</x:definedName>
    <x:definedName name="CHART.chart2seriesname">GTS_SHEET!$K$36</x:definedName>
    <x:definedName name="CHART.choices">INDIRECT(GTS_SHEET!$K$17)</x:definedName>
    <x:definedName name="CHART2.years">TRANSPOSE(OFFSET(INDEX(REP.yearsrange,1),0,0,COUNTA(REP.yearsrange),1))</x:definedName>
    <x:definedName name="CHARTYEAR">VALUE(INDEX(REP.yearsrange,CHARTYEAR.no))</x:definedName>
    <x:definedName name="CHARTYEAR.no">GTS_SHEET!$J$35</x:definedName>
    <x:definedName name="COMPARISONYEAR">VALUE(IF(INDEX(REP.yearsrange,COMPARISONYEAR.no)&gt;=FOCUSYEAR,FOCUSYEAR,INDEX(REP.yearsrange,COMPARISONYEAR.no)))</x:definedName>
    <x:definedName name="COMPARISONYEAR.no">GTS_SHEET!$J$33</x:definedName>
    <x:definedName name="DV">INDEX(TYPE.choices,6)</x:definedName>
    <x:definedName name="EI.MONTHLYDATA">IFERROR(INDEX(DATA!B:B,MATCH(REP.yearsrange&amp;"."&amp;'ECONOMIC IMPACT'!$A$1&amp;"."&amp;TYPE.userselected,REP.lookup,0))*REP.indexationfactors/'ECONOMIC IMPACT'!$A$2,0)</x:definedName>
    <x:definedName name="EI.SHARE_TOTAL_ANN">IFERROR(INDEX(DATA!N:N,MATCH(TRANSPOSE(REP.yearsrange)&amp;"."&amp;'ECONOMIC IMPACT'!$A$1&amp;"."&amp;TOTAL,REP.lookup,0))*TRANSPOSE(REP.indexationfactors)/'ECONOMIC IMPACT'!$A$4,"")</x:definedName>
    <x:definedName name="EI.SHARE_VT_ANN">IFERROR(IF(TYPE.no=5,(INDEX(DATA!N:N,MATCH(TRANSPOSE(REP.yearsrange)&amp;"."&amp;'ECONOMIC IMPACT'!$A$1&amp;"."&amp;INDEX(TYPE.choices,1),REP.lookup,0))-INDEX(DATA!N:N,MATCH(TRANSPOSE(REP.yearsrange)&amp;"."&amp;'ECONOMIC IMPACT'!$A$1&amp;"."&amp;INDEX(TYPE.choices,6),REP.lookup,0)))*TRANSPOSE(REP.indexationfactors),INDEX(DATA!N:N,MATCH(TRANSPOSE(REP.yearsrange)&amp;"."&amp;'ECONOMIC IMPACT'!$A$1&amp;"."&amp;TYPE.userselected,REP.lookup,0))*TRANSPOSE(REP.indexationfactors))/'ECONOMIC IMPACT'!$A$2,"")</x:definedName>
    <x:definedName name="EISHAREOFTOTAL" localSheetId="13">INDIRECT(EMPLOYMENT!$D$32)</x:definedName>
    <x:definedName name="EISHAREOFTOTAL" localSheetId="15">INDIRECT('SECTORAL ANALYSIS'!$D$32)</x:definedName>
    <x:definedName name="EISHAREOFTOTAL" localSheetId="12">INDIRECT('VISITOR DAYS'!$D$32)</x:definedName>
    <x:definedName name="EISHAREOFTOTAL" localSheetId="11">INDIRECT('VISITOR NUMBERS'!$D$32)</x:definedName>
    <x:definedName name="EISHAREOFTOTAL">INDIRECT('ECONOMIC IMPACT'!$D$32)</x:definedName>
    <x:definedName name="EIVISTYPETOTAL" localSheetId="13">INDIRECT(EMPLOYMENT!$D$30)</x:definedName>
    <x:definedName name="EIVISTYPETOTAL" localSheetId="15">INDIRECT('SECTORAL ANALYSIS'!$D$30)</x:definedName>
    <x:definedName name="EIVISTYPETOTAL" localSheetId="12">INDIRECT('VISITOR DAYS'!$D$30)</x:definedName>
    <x:definedName name="EIVISTYPETOTAL" localSheetId="11">INDIRECT('VISITOR NUMBERS'!$D$30)</x:definedName>
    <x:definedName name="EIVISTYPETOTAL">INDIRECT('ECONOMIC IMPACT'!$D$30)</x:definedName>
    <x:definedName name="EIYEARS" localSheetId="13">INDIRECT(EMPLOYMENT!$D$29)</x:definedName>
    <x:definedName name="EIYEARS" localSheetId="15">INDIRECT('SECTORAL ANALYSIS'!$D$29)</x:definedName>
    <x:definedName name="EIYEARS" localSheetId="12">INDIRECT('VISITOR DAYS'!$D$29)</x:definedName>
    <x:definedName name="EIYEARS" localSheetId="11">INDIRECT('VISITOR NUMBERS'!$D$29)</x:definedName>
    <x:definedName name="EIYEARS">INDIRECT('ECONOMIC IMPACT'!$D$29)</x:definedName>
    <x:definedName name="EMP.MONTHLYDATA">IFERROR(INDEX(DATA!B:B,MATCH(REP.yearsrange&amp;"."&amp;EMPLOYMENT!$A$1&amp;"."&amp;TYPE.userselected,REP.lookup,0)),"")</x:definedName>
    <x:definedName name="EMP.SHARE_TOTAL_ANN">IFERROR(INDEX(DATA!N:N,MATCH(TRANSPOSE(REP.yearsrange)&amp;"."&amp;EMPLOYMENT!$A$1&amp;"."&amp;TOTAL,REP.lookup,0)),"")</x:definedName>
    <x:definedName name="EMP.SHARE_VT_ANN">IFERROR(IF(TYPE.no=5,INDEX(DATA!N:N,MATCH(TRANSPOSE(REP.yearsrange)&amp;"."&amp;EMPLOYMENT!$A$1&amp;"."&amp;TOTAL,REP.lookup,0))-INDEX(DATA!N:N,MATCH(TRANSPOSE(REP.yearsrange)&amp;"."&amp;EMPLOYMENT!$A$1&amp;"."&amp;DV,REP.lookup,0)),INDEX(DATA!N:N,MATCH(TRANSPOSE(REP.yearsrange)&amp;"."&amp;EMPLOYMENT!$A$1&amp;"."&amp;TYPE.userselected,REP.lookup,0))),"")</x:definedName>
    <x:definedName name="FOCUSYEAR">VALUE(INDEX(REP.yearsrange,FOCUSYEAR.no))</x:definedName>
    <x:definedName name="FOCUSYEAR.choices">INDIRECT(GTS_SHEET!$D$17)</x:definedName>
    <x:definedName name="FOCUSYEAR.no">GTS_SHEET!$J$34</x:definedName>
    <x:definedName name="GTS_CJ">GTS_SHEET!$O$50:$O$59</x:definedName>
    <x:definedName name="GTS_DC">GTS_SHEET!$O$39:$O$48</x:definedName>
    <x:definedName name="GTS_DJ">GTS_SHEET!$O$28:$O$37</x:definedName>
    <x:definedName name="GTS_RM">GTS_SHEET!$O$61:$O$70</x:definedName>
    <x:definedName name="INDEX.no">GTS_SHEET!$E$31</x:definedName>
    <x:definedName name="NA_LABEL">"Not Applicable"</x:definedName>
    <x:definedName name="NSA.bedlabel">INDIRECT('ACCOMMODATION SUPPLY'!#REF!)</x:definedName>
    <x:definedName name="NSA.bedvalue">INDIRECT('ACCOMMODATION SUPPLY'!$O$22)</x:definedName>
    <x:definedName name="NSA.estlabel">INDIRECT('ACCOMMODATION SUPPLY'!#REF!)</x:definedName>
    <x:definedName name="NSA.ESTVALUE">INDIRECT('ACCOMMODATION SUPPLY'!#REF!)</x:definedName>
    <x:definedName name="_xlnm.Print_Area" localSheetId="14">'ACCOMMODATION SUPPLY'!$E$6:$X$38</x:definedName>
    <x:definedName name="_xlnm.Print_Area" localSheetId="3">ANNEX!$E$6:$X$37</x:definedName>
    <x:definedName name="_xlnm.Print_Area" localSheetId="6">'COMPARATIVE HEADLINES'!$E$6:$X$36</x:definedName>
    <x:definedName name="_xlnm.Print_Area" localSheetId="17">CONTENTS!$E$6:$X$38</x:definedName>
    <x:definedName name="_xlnm.Print_Area" localSheetId="16">COVER!$E$6:$X$35</x:definedName>
    <x:definedName name="_xlnm.Print_Area" localSheetId="10">'ECONOMIC IMPACT'!$E$6:$X$38</x:definedName>
    <x:definedName name="_xlnm.Print_Area" localSheetId="13">EMPLOYMENT!$E$6:$X$38</x:definedName>
    <x:definedName name="_xlnm.Print_Area" localSheetId="4">HOME!$E$6:$X$37</x:definedName>
    <x:definedName name="_xlnm.Print_Area" localSheetId="7">'KEY MEASURES'!$E$6:$X$38</x:definedName>
    <x:definedName name="_xlnm.Print_Area" localSheetId="9">'MONTHLY DISTRIBUTION'!$E$6:$X$38</x:definedName>
    <x:definedName name="_xlnm.Print_Area" localSheetId="2">PB!$E$6:$X$37</x:definedName>
    <x:definedName name="_xlnm.Print_Area" localSheetId="15">'SECTORAL ANALYSIS'!$E$6:$X$38</x:definedName>
    <x:definedName name="_xlnm.Print_Area" localSheetId="5">'USER GUIDE'!$E$6:$X$38</x:definedName>
    <x:definedName name="_xlnm.Print_Area" localSheetId="12">'VISITOR DAYS'!$E$6:$X$38</x:definedName>
    <x:definedName name="_xlnm.Print_Area" localSheetId="11">'VISITOR NUMBERS'!$E$6:$X$38</x:definedName>
    <x:definedName name="_xlnm.Print_Area" localSheetId="8">'VISITOR TYPE DISTRIBUTION'!$E$6:$X$38</x:definedName>
    <x:definedName name="REP.AllYear">GTS_SHEET!$O$22</x:definedName>
    <x:definedName name="REP.alookup">DATA!$A:$A</x:definedName>
    <x:definedName name="REP.areacode">GTS_SHEET!$D$14</x:definedName>
    <x:definedName name="REP.authority">GTS_SHEET!$D$6</x:definedName>
    <x:definedName name="REP.companycontacts">GTS_SHEET!$C$37:$C$48</x:definedName>
    <x:definedName name="REP.data">DATA!$C$8:'DATA'!$T$608</x:definedName>
    <x:definedName name="REP.footer1">GTS_SHEET!$J$5</x:definedName>
    <x:definedName name="REP.footer2">GTS_SHEET!$J$6</x:definedName>
    <x:definedName name="REP.gts">GTS_SHEET!$D$3</x:definedName>
    <x:definedName name="REP.highlightdown">GTS_SHEET!$J$9</x:definedName>
    <x:definedName name="REP.highlightsame">GTS_SHEET!$J$11</x:definedName>
    <x:definedName name="REP.highlightup">GTS_SHEET!$J$10</x:definedName>
    <x:definedName name="REP.ind">GTS_SHEET!$D$15</x:definedName>
    <x:definedName name="REP.indexationfactors">GTS_SHEET!$G$19:$G$30</x:definedName>
    <x:definedName name="REP.indexationtable">'RPI13'!$A$1:$AC$29</x:definedName>
    <x:definedName name="REP.indexationtoFOCUSYEAR">GTS_SHEET!$F$19:$F$30</x:definedName>
    <x:definedName name="REP.indexed">IF(INDEX.no=1,"YES","NO")</x:definedName>
    <x:definedName name="REP.issued">GTS_SHEET!$D$9</x:definedName>
    <x:definedName name="REP.lookup">DATA!$C:$C</x:definedName>
    <x:definedName name="REP.monthnos">DATA!$H$7:$T$7</x:definedName>
    <x:definedName name="REP.months">DATA!$H$8:$S$8</x:definedName>
    <x:definedName name="REP.percenthighlight">GTS_SHEET!$J$8</x:definedName>
    <x:definedName name="rep.percenthighlightchoices">GTS_SHEET!$L$8:$L$11</x:definedName>
    <x:definedName name="rep.percenthighlightno">GTS_SHEET!$K$8</x:definedName>
    <x:definedName name="REP.product">GTS_SHEET!$D$4</x:definedName>
    <x:definedName name="REP.QuarterAllYear">GTS_SHEET!$O$18:$O$22</x:definedName>
    <x:definedName name="REP.quarters">GTS_SHEET!$O$18:$O$21</x:definedName>
    <x:definedName name="REP.reporttype">GTS_SHEET!$D$5</x:definedName>
    <x:definedName name="REP.status">GTS_SHEET!$D$10</x:definedName>
    <x:definedName name="REP.subzone">GTS_SHEET!$D$7</x:definedName>
    <x:definedName name="REP.title1">GTS_SHEET!$J$3</x:definedName>
    <x:definedName name="REP.title2">GTS_SHEET!$J$4</x:definedName>
    <x:definedName name="REP.user">GTS_SHEET!$D$8</x:definedName>
    <x:definedName name="REP.yearnos">GTS_SHEET!$C$19:$C$30</x:definedName>
    <x:definedName name="REP.yearnosINV">GTS_SHEET!$B$19:$B$30</x:definedName>
    <x:definedName name="REP.yearsrange">GTS_SHEET!$D$19:$D$30</x:definedName>
    <x:definedName name="REP.YN">GTS_SHEET!$F$32:$F$33</x:definedName>
    <x:definedName name="SA.BEDLABEL">INDIRECT('ACCOMMODATION SUPPLY'!$M$8)</x:definedName>
    <x:definedName name="SA.bedvalue">INDIRECT('ACCOMMODATION SUPPLY'!$E$17)</x:definedName>
    <x:definedName name="SA.estlabel">INDIRECT('ACCOMMODATION SUPPLY'!$N$8)</x:definedName>
    <x:definedName name="SA.estvalue">INDIRECT('ACCOMMODATION SUPPLY'!#REF!)</x:definedName>
    <x:definedName name="TD.MONTHLYDATA">IFERROR(INDEX(DATA!B:B,MATCH(REP.yearsrange&amp;"."&amp;'VISITOR DAYS'!$A$1&amp;"."&amp;TYPE.userselected,REP.lookup,0))/'VISITOR DAYS'!$A$2,0)</x:definedName>
    <x:definedName name="TD.SHARE_TOTAL_ANN">IFERROR(INDEX(DATA!N:N,MATCH(TRANSPOSE(REP.yearsrange)&amp;"."&amp;'VISITOR DAYS'!$A$1&amp;"."&amp;TOTAL,REP.lookup,0))/'VISITOR DAYS'!$A$4,"")</x:definedName>
    <x:definedName name="TD.SHARE_VT_ANN">IFERROR(IF(TYPE.no=5,INDEX(DATA!N:N,MATCH(TRANSPOSE(REP.yearsrange)&amp;"."&amp;'VISITOR DAYS'!$A$1&amp;"."&amp;TOTAL,REP.lookup,0))-INDEX(DATA!N:N,MATCH(TRANSPOSE(REP.yearsrange)&amp;"."&amp;'VISITOR DAYS'!$A$1&amp;"."&amp;DV,REP.lookup,0)),INDEX(DATA!N:N,MATCH(TRANSPOSE(REP.yearsrange)&amp;"."&amp;'VISITOR DAYS'!$A$1&amp;"."&amp;TYPE.userselected,REP.lookup,0)))/'VISITOR DAYS'!$A$2,"")</x:definedName>
    <x:definedName name="TN.MONTHLYDATA">IFERROR(INDEX(DATA!B:B,MATCH(REP.yearsrange&amp;"."&amp;'VISITOR NUMBERS'!$A$1&amp;"."&amp;TYPE.userselected,REP.lookup,0))/'VISITOR NUMBERS'!$A$2,"")</x:definedName>
    <x:definedName name="TN.SHARE_TOTAL_ANN">IFERROR(INDEX(DATA!N:N,MATCH(TRANSPOSE(REP.yearsrange)&amp;"."&amp;'VISITOR NUMBERS'!$A$1&amp;"."&amp;TOTAL,REP.lookup,0))/'VISITOR NUMBERS'!$A$4,"")</x:definedName>
    <x:definedName name="TN.SHARE_VT_ANN">IFERROR(IF(TYPE.no=5,INDEX(DATA!N:N,MATCH(TRANSPOSE(REP.yearsrange)&amp;"."&amp;'VISITOR NUMBERS'!$A$1&amp;"."&amp;TOTAL,REP.lookup,0))-INDEX(DATA!N:N,MATCH(TRANSPOSE(REP.yearsrange)&amp;"."&amp;'VISITOR NUMBERS'!$A$1&amp;"."&amp;DV,REP.lookup,0)),INDEX(DATA!N:N,MATCH(TRANSPOSE(REP.yearsrange)&amp;"."&amp;'VISITOR NUMBERS'!$A$1&amp;"."&amp;TYPE.userselected,REP.lookup,0)))/'VISITOR NUMBERS'!$A$2,"")</x:definedName>
    <x:definedName name="TOTAL">INDEX(TYPE.choices,1)</x:definedName>
    <x:definedName name="TYPE.choices">GTS_SHEET!$I$42:$I$47</x:definedName>
    <x:definedName name="TYPE.no">GTS_SHEET!$J$48</x:definedName>
    <x:definedName name="TYPE.supplymeasure">GTS_SHEET!$J$49</x:definedName>
    <x:definedName name="TYPE.userselected">GTS_SHEET!$I$49</x:definedName>
    <x:definedName name="VISTYPE.short" comment="=if(right(type.userselected,3)=&quot;ion&quot;,left(type.userselected,len(type.userselected)-14),type.userselected)">IF(RIGHT(TYPE.userselected,3)="ion",LEFT(TYPE.userselected,LEN(TYPE.userselected)-14),TYPE.userselected)</x:definedName>
    <x:definedName name="wrn.Sumaries." hidden="1">{#N/A,#N/A,FALSE,"PERTH"}</x:definedName>
    <x:definedName name="YEARSINREP">GTS_SHEET!$G$31</x:definedName>
    <x:definedName name="Z_8B230698_F8B2_4D0F_832E_63DA4284639C_.wvu.PrintArea" localSheetId="14" hidden="1">'ACCOMMODATION SUPPLY'!$E$8:$X$38</x:definedName>
    <x:definedName name="Z_8B230698_F8B2_4D0F_832E_63DA4284639C_.wvu.PrintArea" localSheetId="3" hidden="1">ANNEX!$E$9:$X$37</x:definedName>
    <x:definedName name="Z_8B230698_F8B2_4D0F_832E_63DA4284639C_.wvu.PrintArea" localSheetId="6" hidden="1">'COMPARATIVE HEADLINES'!$E$9:$X$36</x:definedName>
    <x:definedName name="Z_8B230698_F8B2_4D0F_832E_63DA4284639C_.wvu.PrintArea" localSheetId="17" hidden="1">CONTENTS!$E$9:$X$38</x:definedName>
    <x:definedName name="Z_8B230698_F8B2_4D0F_832E_63DA4284639C_.wvu.PrintArea" localSheetId="16" hidden="1">COVER!$E$9:$X$35</x:definedName>
    <x:definedName name="Z_8B230698_F8B2_4D0F_832E_63DA4284639C_.wvu.PrintArea" localSheetId="10" hidden="1">'ECONOMIC IMPACT'!$E$9:$X$38</x:definedName>
    <x:definedName name="Z_8B230698_F8B2_4D0F_832E_63DA4284639C_.wvu.PrintArea" localSheetId="13" hidden="1">EMPLOYMENT!$E$9:$X$38</x:definedName>
    <x:definedName name="Z_8B230698_F8B2_4D0F_832E_63DA4284639C_.wvu.PrintArea" localSheetId="4" hidden="1">HOME!$E$10:$X$37</x:definedName>
    <x:definedName name="Z_8B230698_F8B2_4D0F_832E_63DA4284639C_.wvu.PrintArea" localSheetId="7" hidden="1">'KEY MEASURES'!$E$9:$X$38</x:definedName>
    <x:definedName name="Z_8B230698_F8B2_4D0F_832E_63DA4284639C_.wvu.PrintArea" localSheetId="9" hidden="1">'MONTHLY DISTRIBUTION'!$E$9:$X$38</x:definedName>
    <x:definedName name="Z_8B230698_F8B2_4D0F_832E_63DA4284639C_.wvu.PrintArea" localSheetId="2" hidden="1">PB!$E$9:$X$37</x:definedName>
    <x:definedName name="Z_8B230698_F8B2_4D0F_832E_63DA4284639C_.wvu.PrintArea" localSheetId="15" hidden="1">'SECTORAL ANALYSIS'!$E$8:$X$38</x:definedName>
    <x:definedName name="Z_8B230698_F8B2_4D0F_832E_63DA4284639C_.wvu.PrintArea" localSheetId="5" hidden="1">'USER GUIDE'!$E$9:$X$38</x:definedName>
    <x:definedName name="Z_8B230698_F8B2_4D0F_832E_63DA4284639C_.wvu.PrintArea" localSheetId="12" hidden="1">'VISITOR DAYS'!$E$9:$X$38</x:definedName>
    <x:definedName name="Z_8B230698_F8B2_4D0F_832E_63DA4284639C_.wvu.PrintArea" localSheetId="11" hidden="1">'VISITOR NUMBERS'!$E$9:$X$38</x:definedName>
    <x:definedName name="Z_8B230698_F8B2_4D0F_832E_63DA4284639C_.wvu.PrintArea" localSheetId="8" hidden="1">'VISITOR TYPE DISTRIBUTION'!$E$9:$X$38</x:definedName>
    <x:definedName name="Z_8B230698_F8B2_4D0F_832E_63DA4284639C_.wvu.Rows" localSheetId="14" hidden="1">'ACCOMMODATION SUPPLY'!$1:$1,'ACCOMMODATION SUPPLY'!#REF!</x:definedName>
    <x:definedName name="Z_8B230698_F8B2_4D0F_832E_63DA4284639C_.wvu.Rows" localSheetId="3" hidden="1">ANNEX!$1:$1,ANNEX!#REF!</x:definedName>
    <x:definedName name="Z_8B230698_F8B2_4D0F_832E_63DA4284639C_.wvu.Rows" localSheetId="6" hidden="1">'COMPARATIVE HEADLINES'!$1:$1,'COMPARATIVE HEADLINES'!#REF!</x:definedName>
    <x:definedName name="Z_8B230698_F8B2_4D0F_832E_63DA4284639C_.wvu.Rows" localSheetId="17" hidden="1">CONTENTS!$1:$1,CONTENTS!#REF!</x:definedName>
    <x:definedName name="Z_8B230698_F8B2_4D0F_832E_63DA4284639C_.wvu.Rows" localSheetId="16" hidden="1">COVER!$1:$1,COVER!#REF!</x:definedName>
    <x:definedName name="Z_8B230698_F8B2_4D0F_832E_63DA4284639C_.wvu.Rows" localSheetId="10" hidden="1">'ECONOMIC IMPACT'!$1:$1,'ECONOMIC IMPACT'!#REF!</x:definedName>
    <x:definedName name="Z_8B230698_F8B2_4D0F_832E_63DA4284639C_.wvu.Rows" localSheetId="13" hidden="1">EMPLOYMENT!$1:$1,EMPLOYMENT!#REF!</x:definedName>
    <x:definedName name="Z_8B230698_F8B2_4D0F_832E_63DA4284639C_.wvu.Rows" localSheetId="4" hidden="1">HOME!$1:$1,HOME!#REF!</x:definedName>
    <x:definedName name="Z_8B230698_F8B2_4D0F_832E_63DA4284639C_.wvu.Rows" localSheetId="7" hidden="1">'KEY MEASURES'!$1:$1,'KEY MEASURES'!#REF!</x:definedName>
    <x:definedName name="Z_8B230698_F8B2_4D0F_832E_63DA4284639C_.wvu.Rows" localSheetId="9" hidden="1">'MONTHLY DISTRIBUTION'!$1:$1,'MONTHLY DISTRIBUTION'!#REF!</x:definedName>
    <x:definedName name="Z_8B230698_F8B2_4D0F_832E_63DA4284639C_.wvu.Rows" localSheetId="2" hidden="1">PB!$1:$1,PB!#REF!</x:definedName>
    <x:definedName name="Z_8B230698_F8B2_4D0F_832E_63DA4284639C_.wvu.Rows" localSheetId="15" hidden="1">'SECTORAL ANALYSIS'!$1:$1,'SECTORAL ANALYSIS'!#REF!</x:definedName>
    <x:definedName name="Z_8B230698_F8B2_4D0F_832E_63DA4284639C_.wvu.Rows" localSheetId="5" hidden="1">'USER GUIDE'!$1:$1,'USER GUIDE'!#REF!</x:definedName>
    <x:definedName name="Z_8B230698_F8B2_4D0F_832E_63DA4284639C_.wvu.Rows" localSheetId="12" hidden="1">'VISITOR DAYS'!$1:$1,'VISITOR DAYS'!#REF!</x:definedName>
    <x:definedName name="Z_8B230698_F8B2_4D0F_832E_63DA4284639C_.wvu.Rows" localSheetId="11" hidden="1">'VISITOR NUMBERS'!$1:$1,'VISITOR NUMBERS'!#REF!</x:definedName>
    <x:definedName name="Z_8B230698_F8B2_4D0F_832E_63DA4284639C_.wvu.Rows" localSheetId="8" hidden="1">'VISITOR TYPE DISTRIBUTION'!$1:$1,'VISITOR TYPE DISTRIBUTION'!#REF!</x:definedName>
  </x:definedNames>
  <x:calcPr calcId="191029"/>
  <x:fileRecoveryPr autoRecover="0"/>
  <x:extLst>
    <x:ext xmlns:x14="http://schemas.microsoft.com/office/spreadsheetml/2009/9/main" uri="{79F54976-1DA5-4618-B147-4CDE4B953A38}">
      <x14:workbookPr discardImageEditData="1"/>
    </x:ex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x:ext>
  </x:extLst>
</x:workbook>
</file>

<file path=xl/calcChain.xml><?xml version="1.0" encoding="utf-8"?>
<calcChain xmlns="http://schemas.openxmlformats.org/spreadsheetml/2006/main">
  <c r="G19" i="1" l="1" a="1"/>
  <c r="G19" i="1" s="1"/>
  <c r="F19" i="1" a="1"/>
  <c r="F19" i="1" s="1"/>
  <c r="G30" i="1" l="1"/>
  <c r="G29" i="1"/>
  <c r="G27" i="1"/>
  <c r="G28" i="1"/>
  <c r="G26" i="1"/>
  <c r="G25" i="1"/>
  <c r="G24" i="1"/>
  <c r="G23" i="1"/>
  <c r="G22" i="1"/>
  <c r="G21" i="1"/>
  <c r="G20" i="1"/>
  <c r="F30" i="1"/>
  <c r="F29" i="1"/>
  <c r="F27" i="1"/>
  <c r="F26" i="1"/>
  <c r="F28" i="1"/>
  <c r="F25" i="1"/>
  <c r="F24" i="1"/>
  <c r="F23" i="1"/>
  <c r="F22" i="1"/>
  <c r="F21" i="1"/>
  <c r="F20" i="1"/>
  <c r="K34" i="1"/>
  <c r="K33" i="1"/>
  <c r="K35" i="1"/>
  <c r="F18" i="1"/>
  <c r="J19" i="1" l="1"/>
  <c r="K19" i="1" s="1"/>
  <c r="I22" i="1" a="1"/>
  <c r="I22" i="1" s="1"/>
  <c r="J20" i="1" a="1"/>
  <c r="J20" i="1" s="1"/>
  <c r="K20" i="1" s="1"/>
  <c r="C38" i="1" a="1"/>
  <c r="C39" i="1" l="1"/>
  <c r="C43" i="1"/>
  <c r="C47" i="1"/>
  <c r="C40" i="1"/>
  <c r="C44" i="1"/>
  <c r="C41" i="1"/>
  <c r="C45" i="1"/>
  <c r="C38" i="1"/>
  <c r="C42" i="1"/>
  <c r="C46" i="1"/>
  <c r="J28" i="1"/>
  <c r="K28" i="1" s="1"/>
  <c r="I27" i="1"/>
  <c r="I23" i="1"/>
  <c r="J24" i="1"/>
  <c r="K24" i="1" s="1"/>
  <c r="J29" i="1"/>
  <c r="K29" i="1" s="1"/>
  <c r="I28" i="1"/>
  <c r="J25" i="1"/>
  <c r="K25" i="1" s="1"/>
  <c r="I24" i="1"/>
  <c r="J21" i="1"/>
  <c r="K21" i="1" s="1"/>
  <c r="J31" i="1"/>
  <c r="K31" i="1" s="1"/>
  <c r="J30" i="1"/>
  <c r="K30" i="1" s="1"/>
  <c r="I29" i="1"/>
  <c r="J26" i="1"/>
  <c r="K26" i="1" s="1"/>
  <c r="I25" i="1"/>
  <c r="J22" i="1"/>
  <c r="K22" i="1" s="1"/>
  <c r="J32" i="1"/>
  <c r="K32" i="1" s="1"/>
  <c r="I31" i="1"/>
  <c r="I30" i="1"/>
  <c r="J27" i="1"/>
  <c r="K27" i="1" s="1"/>
  <c r="I26" i="1"/>
  <c r="J23" i="1"/>
  <c r="K23" i="1" s="1"/>
  <c r="E32" i="68"/>
  <c r="E26" i="68"/>
  <c r="I32" i="68"/>
  <c r="E17" i="68" l="1"/>
  <c r="E8" i="68"/>
  <c r="M26" i="68"/>
  <c r="M27" i="68" s="1"/>
  <c r="K26" i="68"/>
  <c r="L27" i="68" s="1"/>
  <c r="I26" i="68"/>
  <c r="I17" i="68"/>
  <c r="K17" i="68"/>
  <c r="L18" i="68" s="1"/>
  <c r="M17" i="68"/>
  <c r="M18" i="68" s="1"/>
  <c r="I8" i="68"/>
  <c r="M8" i="68"/>
  <c r="N9" i="68" s="1"/>
  <c r="K8" i="68"/>
  <c r="L9" i="68" s="1"/>
  <c r="N27" i="68" l="1"/>
  <c r="K27" i="68"/>
  <c r="N18" i="68"/>
  <c r="K18" i="68"/>
  <c r="K9" i="68"/>
  <c r="M9" i="68"/>
  <c r="N6" i="60"/>
  <c r="C991" i="65" l="1"/>
  <c r="A990" i="65"/>
  <c r="C989" i="65"/>
  <c r="C988" i="65"/>
  <c r="C987" i="65"/>
  <c r="C985" i="65"/>
  <c r="C984" i="65"/>
  <c r="C983" i="65"/>
  <c r="C981" i="65"/>
  <c r="C992" i="65"/>
  <c r="C979" i="65"/>
  <c r="C977" i="65"/>
  <c r="C976" i="65"/>
  <c r="C975" i="65"/>
  <c r="C973" i="65"/>
  <c r="C972" i="65"/>
  <c r="C971" i="65"/>
  <c r="C970" i="65"/>
  <c r="C969" i="65"/>
  <c r="C967" i="65"/>
  <c r="C965" i="65"/>
  <c r="C964" i="65"/>
  <c r="C963" i="65"/>
  <c r="C961" i="65"/>
  <c r="C959" i="65"/>
  <c r="C958" i="65"/>
  <c r="C957" i="65"/>
  <c r="C956" i="65"/>
  <c r="C955" i="65"/>
  <c r="C954" i="65"/>
  <c r="C953" i="65"/>
  <c r="C952" i="65"/>
  <c r="C951" i="65"/>
  <c r="C950" i="65"/>
  <c r="A950" i="65"/>
  <c r="C949" i="65"/>
  <c r="A949" i="65"/>
  <c r="C948" i="65"/>
  <c r="A948" i="65"/>
  <c r="C947" i="65"/>
  <c r="A947" i="65"/>
  <c r="C946" i="65"/>
  <c r="A946" i="65"/>
  <c r="C945" i="65"/>
  <c r="A945" i="65"/>
  <c r="A943" i="65"/>
  <c r="A939" i="65"/>
  <c r="A935" i="65"/>
  <c r="C943" i="65"/>
  <c r="C942" i="65"/>
  <c r="A942" i="65"/>
  <c r="C941" i="65"/>
  <c r="A941" i="65"/>
  <c r="C939" i="65"/>
  <c r="C938" i="65"/>
  <c r="A938" i="65"/>
  <c r="C937" i="65"/>
  <c r="A937" i="65"/>
  <c r="A936" i="65"/>
  <c r="C935" i="65"/>
  <c r="C934" i="65"/>
  <c r="A934" i="65"/>
  <c r="C933" i="65"/>
  <c r="A933" i="65"/>
  <c r="A931" i="65"/>
  <c r="A927" i="65"/>
  <c r="C931" i="65"/>
  <c r="C929" i="65"/>
  <c r="A929" i="65"/>
  <c r="C927" i="65"/>
  <c r="A926" i="65"/>
  <c r="A925" i="65"/>
  <c r="A924" i="65"/>
  <c r="A923" i="65"/>
  <c r="A922" i="65"/>
  <c r="A921" i="65"/>
  <c r="A992" i="65" l="1"/>
  <c r="A984" i="65"/>
  <c r="A988" i="65"/>
  <c r="A982" i="65"/>
  <c r="A986" i="65"/>
  <c r="A954" i="65"/>
  <c r="A964" i="65"/>
  <c r="A983" i="65"/>
  <c r="A974" i="65"/>
  <c r="A958" i="65"/>
  <c r="A962" i="65"/>
  <c r="A966" i="65"/>
  <c r="A968" i="65"/>
  <c r="A951" i="65"/>
  <c r="A953" i="65"/>
  <c r="A955" i="65"/>
  <c r="A957" i="65"/>
  <c r="A959" i="65"/>
  <c r="A963" i="65"/>
  <c r="A967" i="65"/>
  <c r="A976" i="65"/>
  <c r="A952" i="65"/>
  <c r="A956" i="65"/>
  <c r="A960" i="65"/>
  <c r="A979" i="65"/>
  <c r="A991" i="65"/>
  <c r="A969" i="65"/>
  <c r="C960" i="65"/>
  <c r="A971" i="65"/>
  <c r="A975" i="65"/>
  <c r="A970" i="65"/>
  <c r="A972" i="65"/>
  <c r="A978" i="65"/>
  <c r="A987" i="65"/>
  <c r="A980" i="65"/>
  <c r="A930" i="65"/>
  <c r="C930" i="65"/>
  <c r="C928" i="65"/>
  <c r="A928" i="65"/>
  <c r="A932" i="65"/>
  <c r="C932" i="65"/>
  <c r="A940" i="65"/>
  <c r="A944" i="65"/>
  <c r="C936" i="65"/>
  <c r="C940" i="65"/>
  <c r="C944" i="65"/>
  <c r="C962" i="65"/>
  <c r="C966" i="65"/>
  <c r="C968" i="65"/>
  <c r="A961" i="65"/>
  <c r="A965" i="65"/>
  <c r="C980" i="65"/>
  <c r="A973" i="65"/>
  <c r="A977" i="65"/>
  <c r="C974" i="65"/>
  <c r="C978" i="65"/>
  <c r="A981" i="65"/>
  <c r="C982" i="65"/>
  <c r="A985" i="65"/>
  <c r="C986" i="65"/>
  <c r="A989" i="65"/>
  <c r="C990" i="65"/>
  <c r="C921" i="65"/>
  <c r="C922" i="65"/>
  <c r="C923" i="65"/>
  <c r="C924" i="65"/>
  <c r="C925" i="65"/>
  <c r="C926" i="65"/>
  <c r="P7" i="61" l="1"/>
  <c r="P6" i="61"/>
  <c r="E34" i="59" l="1"/>
  <c r="E34" i="58"/>
  <c r="E34" i="57"/>
  <c r="E34" i="55"/>
  <c r="O23" i="66" l="1"/>
  <c r="S6" i="66"/>
  <c r="S6" i="67"/>
  <c r="O23" i="67"/>
  <c r="E8" i="56" l="1"/>
  <c r="E19" i="56"/>
  <c r="A1" i="58"/>
  <c r="A1" i="57"/>
  <c r="P7" i="56" l="1"/>
  <c r="F31" i="1"/>
  <c r="E8" i="66" l="1"/>
  <c r="D5" i="1" l="1"/>
  <c r="A1" i="73" l="1"/>
  <c r="D31" i="73" s="1"/>
  <c r="D29" i="73" l="1"/>
  <c r="D30" i="73"/>
  <c r="D28" i="73"/>
  <c r="D32" i="73"/>
  <c r="D27" i="73"/>
  <c r="E21" i="72" a="1"/>
  <c r="E21" i="72" s="1"/>
  <c r="F20" i="72"/>
  <c r="S6" i="72"/>
  <c r="E9" i="72" s="1"/>
  <c r="Z16" i="72"/>
  <c r="O11" i="72" a="1"/>
  <c r="O21" i="72" s="1"/>
  <c r="A1" i="72"/>
  <c r="D30" i="72" s="1"/>
  <c r="E32" i="72" l="1"/>
  <c r="E31" i="72"/>
  <c r="E22" i="72"/>
  <c r="E27" i="72"/>
  <c r="E26" i="72"/>
  <c r="E30" i="72"/>
  <c r="E24" i="72"/>
  <c r="E28" i="72"/>
  <c r="E23" i="72"/>
  <c r="E29" i="72"/>
  <c r="E25" i="72"/>
  <c r="O14" i="72"/>
  <c r="O18" i="72"/>
  <c r="O22" i="72"/>
  <c r="D27" i="72"/>
  <c r="D31" i="72"/>
  <c r="O11" i="72"/>
  <c r="O15" i="72"/>
  <c r="O19" i="72"/>
  <c r="O23" i="72"/>
  <c r="D28" i="72"/>
  <c r="D32" i="72"/>
  <c r="O12" i="72"/>
  <c r="O16" i="72"/>
  <c r="O20" i="72"/>
  <c r="O24" i="72"/>
  <c r="D29" i="72"/>
  <c r="O13" i="72"/>
  <c r="O17" i="72"/>
  <c r="F11" i="71" a="1"/>
  <c r="F11" i="71" s="1"/>
  <c r="Z16" i="71"/>
  <c r="A1" i="71"/>
  <c r="D30" i="71" s="1"/>
  <c r="F22" i="71" l="1"/>
  <c r="F18" i="71"/>
  <c r="F14" i="71"/>
  <c r="F21" i="71"/>
  <c r="F17" i="71"/>
  <c r="F13" i="71"/>
  <c r="F24" i="71"/>
  <c r="F20" i="71"/>
  <c r="F16" i="71"/>
  <c r="F12" i="71"/>
  <c r="F23" i="71"/>
  <c r="F19" i="71"/>
  <c r="F15" i="71"/>
  <c r="D27" i="71"/>
  <c r="D31" i="71"/>
  <c r="D28" i="71"/>
  <c r="D32" i="71"/>
  <c r="D29" i="71"/>
  <c r="Z16" i="69"/>
  <c r="A1" i="69"/>
  <c r="D32" i="69" s="1"/>
  <c r="D29" i="69" l="1"/>
  <c r="D30" i="69"/>
  <c r="D27" i="69"/>
  <c r="D31" i="69"/>
  <c r="D28" i="69"/>
  <c r="C812" i="65"/>
  <c r="C808" i="65"/>
  <c r="C804" i="65"/>
  <c r="C800" i="65"/>
  <c r="C798" i="65"/>
  <c r="C794" i="65"/>
  <c r="C789" i="65"/>
  <c r="C787" i="65"/>
  <c r="C781" i="65"/>
  <c r="C779" i="65"/>
  <c r="C777" i="65"/>
  <c r="C773" i="65"/>
  <c r="C771" i="65"/>
  <c r="C765" i="65"/>
  <c r="C759" i="65"/>
  <c r="C755" i="65"/>
  <c r="C754" i="65"/>
  <c r="C750" i="65"/>
  <c r="C747" i="65"/>
  <c r="C746" i="65"/>
  <c r="C744" i="65"/>
  <c r="C740" i="65"/>
  <c r="C737" i="65"/>
  <c r="C736" i="65"/>
  <c r="C735" i="65"/>
  <c r="C733" i="65"/>
  <c r="C731" i="65"/>
  <c r="C729" i="65"/>
  <c r="C728" i="65"/>
  <c r="C727" i="65"/>
  <c r="C725" i="65"/>
  <c r="C723" i="65"/>
  <c r="C721" i="65"/>
  <c r="C720" i="65"/>
  <c r="C719" i="65"/>
  <c r="C717" i="65"/>
  <c r="C715" i="65"/>
  <c r="C713" i="65"/>
  <c r="C709" i="65"/>
  <c r="C707" i="65"/>
  <c r="C701" i="65"/>
  <c r="C699" i="65"/>
  <c r="C693" i="65"/>
  <c r="C691" i="65"/>
  <c r="C685" i="65"/>
  <c r="C681" i="65"/>
  <c r="C679" i="65"/>
  <c r="C677" i="65"/>
  <c r="C675" i="65"/>
  <c r="C673" i="65"/>
  <c r="C671" i="65"/>
  <c r="C667" i="65"/>
  <c r="C665" i="65"/>
  <c r="C663" i="65"/>
  <c r="C661" i="65"/>
  <c r="C659" i="65"/>
  <c r="C656" i="65"/>
  <c r="C655" i="65"/>
  <c r="C654" i="65"/>
  <c r="C652" i="65"/>
  <c r="C650" i="65"/>
  <c r="C649" i="65"/>
  <c r="C648" i="65"/>
  <c r="C647" i="65"/>
  <c r="C645" i="65"/>
  <c r="C641" i="65"/>
  <c r="C640" i="65"/>
  <c r="C639" i="65"/>
  <c r="C637" i="65"/>
  <c r="C636" i="65"/>
  <c r="C635" i="65"/>
  <c r="C634" i="65"/>
  <c r="C633" i="65"/>
  <c r="C631" i="65"/>
  <c r="C630" i="65"/>
  <c r="C629" i="65"/>
  <c r="C628" i="65"/>
  <c r="A628" i="65"/>
  <c r="C627" i="65"/>
  <c r="C625" i="65"/>
  <c r="C623" i="65"/>
  <c r="C621" i="65"/>
  <c r="C620" i="65"/>
  <c r="C619" i="65"/>
  <c r="C617" i="65"/>
  <c r="C615" i="65"/>
  <c r="C613" i="65"/>
  <c r="C612" i="65"/>
  <c r="C609" i="65"/>
  <c r="A620" i="65"/>
  <c r="C643" i="65"/>
  <c r="A639" i="65"/>
  <c r="C669" i="65"/>
  <c r="A707" i="65"/>
  <c r="A699" i="65"/>
  <c r="A691" i="65"/>
  <c r="A701" i="65"/>
  <c r="A693" i="65"/>
  <c r="C651" i="65"/>
  <c r="C644" i="65"/>
  <c r="C624" i="65"/>
  <c r="C616" i="65"/>
  <c r="C738" i="65"/>
  <c r="C734" i="65"/>
  <c r="C732" i="65"/>
  <c r="C730" i="65"/>
  <c r="C726" i="65"/>
  <c r="C724" i="65"/>
  <c r="C722" i="65"/>
  <c r="C718" i="65"/>
  <c r="C716" i="65"/>
  <c r="C714" i="65"/>
  <c r="C761" i="65"/>
  <c r="C757" i="65"/>
  <c r="C745" i="65"/>
  <c r="C743" i="65"/>
  <c r="C741" i="65"/>
  <c r="C739" i="65"/>
  <c r="C790" i="65"/>
  <c r="A790" i="65"/>
  <c r="C788" i="65"/>
  <c r="A788" i="65"/>
  <c r="C786" i="65"/>
  <c r="A786" i="65"/>
  <c r="C784" i="65"/>
  <c r="A784" i="65"/>
  <c r="C782" i="65"/>
  <c r="A782" i="65"/>
  <c r="C780" i="65"/>
  <c r="A780" i="65"/>
  <c r="C778" i="65"/>
  <c r="A778" i="65"/>
  <c r="C776" i="65"/>
  <c r="A776" i="65"/>
  <c r="C774" i="65"/>
  <c r="A774" i="65"/>
  <c r="C772" i="65"/>
  <c r="A772" i="65"/>
  <c r="C770" i="65"/>
  <c r="A770" i="65"/>
  <c r="C768" i="65"/>
  <c r="A768" i="65"/>
  <c r="C766" i="65"/>
  <c r="A766" i="65"/>
  <c r="C816" i="65"/>
  <c r="C815" i="65"/>
  <c r="A815" i="65"/>
  <c r="C814" i="65"/>
  <c r="C810" i="65"/>
  <c r="A807" i="65"/>
  <c r="A799" i="65"/>
  <c r="A791" i="65"/>
  <c r="C813" i="65"/>
  <c r="C811" i="65"/>
  <c r="C809" i="65"/>
  <c r="C807" i="65"/>
  <c r="C805" i="65"/>
  <c r="C803" i="65"/>
  <c r="C801" i="65"/>
  <c r="C799" i="65"/>
  <c r="C797" i="65"/>
  <c r="C795" i="65"/>
  <c r="C793" i="65"/>
  <c r="C791" i="65"/>
  <c r="A747" i="65"/>
  <c r="A709" i="65" l="1"/>
  <c r="A635" i="65"/>
  <c r="A647" i="65"/>
  <c r="A793" i="65"/>
  <c r="A795" i="65"/>
  <c r="A797" i="65"/>
  <c r="A801" i="65"/>
  <c r="A803" i="65"/>
  <c r="A805" i="65"/>
  <c r="A809" i="65"/>
  <c r="A811" i="65"/>
  <c r="A813" i="65"/>
  <c r="A617" i="65"/>
  <c r="A619" i="65"/>
  <c r="A621" i="65"/>
  <c r="A623" i="65"/>
  <c r="A654" i="65"/>
  <c r="A800" i="65"/>
  <c r="A746" i="65"/>
  <c r="A750" i="65"/>
  <c r="A754" i="65"/>
  <c r="A779" i="65"/>
  <c r="A804" i="65"/>
  <c r="A611" i="65"/>
  <c r="A615" i="65"/>
  <c r="A646" i="65"/>
  <c r="A683" i="65"/>
  <c r="A748" i="65"/>
  <c r="A752" i="65"/>
  <c r="A792" i="65"/>
  <c r="A802" i="65"/>
  <c r="A810" i="65"/>
  <c r="A816" i="65"/>
  <c r="A642" i="65"/>
  <c r="A742" i="65"/>
  <c r="A767" i="65"/>
  <c r="A769" i="65"/>
  <c r="A775" i="65"/>
  <c r="A777" i="65"/>
  <c r="A783" i="65"/>
  <c r="A785" i="65"/>
  <c r="A796" i="65"/>
  <c r="A806" i="65"/>
  <c r="A814" i="65"/>
  <c r="C792" i="65"/>
  <c r="A630" i="65"/>
  <c r="A659" i="65"/>
  <c r="A612" i="65"/>
  <c r="A625" i="65"/>
  <c r="A638" i="65"/>
  <c r="A740" i="65"/>
  <c r="C796" i="65"/>
  <c r="C611" i="65"/>
  <c r="C769" i="65"/>
  <c r="C802" i="65"/>
  <c r="C806" i="65"/>
  <c r="A771" i="65"/>
  <c r="C742" i="65"/>
  <c r="C748" i="65"/>
  <c r="C752" i="65"/>
  <c r="C642" i="65"/>
  <c r="C683" i="65"/>
  <c r="A667" i="65"/>
  <c r="C638" i="65"/>
  <c r="A663" i="65"/>
  <c r="A671" i="65"/>
  <c r="A679" i="65"/>
  <c r="C785" i="65"/>
  <c r="A794" i="65"/>
  <c r="A798" i="65"/>
  <c r="A808" i="65"/>
  <c r="A812" i="65"/>
  <c r="A787" i="65"/>
  <c r="A744" i="65"/>
  <c r="A609" i="65"/>
  <c r="A613" i="65"/>
  <c r="A627" i="65"/>
  <c r="A631" i="65"/>
  <c r="C646" i="65"/>
  <c r="A675" i="65"/>
  <c r="A650" i="65"/>
  <c r="A610" i="65"/>
  <c r="A614" i="65"/>
  <c r="A616" i="65"/>
  <c r="A618" i="65"/>
  <c r="A622" i="65"/>
  <c r="A624" i="65"/>
  <c r="A626" i="65"/>
  <c r="A632" i="65"/>
  <c r="A643" i="65"/>
  <c r="A651" i="65"/>
  <c r="A653" i="65"/>
  <c r="A657" i="65"/>
  <c r="A687" i="65"/>
  <c r="A689" i="65"/>
  <c r="A695" i="65"/>
  <c r="A697" i="65"/>
  <c r="A703" i="65"/>
  <c r="A705" i="65"/>
  <c r="A711" i="65"/>
  <c r="A739" i="65"/>
  <c r="A741" i="65"/>
  <c r="A743" i="65"/>
  <c r="A745" i="65"/>
  <c r="A749" i="65"/>
  <c r="A751" i="65"/>
  <c r="A753" i="65"/>
  <c r="A757" i="65"/>
  <c r="A761" i="65"/>
  <c r="A763" i="65"/>
  <c r="C767" i="65"/>
  <c r="C775" i="65"/>
  <c r="C783" i="65"/>
  <c r="A765" i="65"/>
  <c r="A773" i="65"/>
  <c r="A781" i="65"/>
  <c r="A789" i="65"/>
  <c r="C749" i="65"/>
  <c r="C751" i="65"/>
  <c r="C753" i="65"/>
  <c r="A755" i="65"/>
  <c r="A759" i="65"/>
  <c r="C763" i="65"/>
  <c r="C689" i="65"/>
  <c r="C697" i="65"/>
  <c r="C705" i="65"/>
  <c r="C687" i="65"/>
  <c r="C695" i="65"/>
  <c r="C703" i="65"/>
  <c r="C711" i="65"/>
  <c r="C657" i="65"/>
  <c r="A649" i="65"/>
  <c r="C653" i="65"/>
  <c r="A637" i="65"/>
  <c r="A641" i="65"/>
  <c r="A645" i="65"/>
  <c r="A655" i="65"/>
  <c r="C614" i="65"/>
  <c r="C622" i="65"/>
  <c r="A634" i="65"/>
  <c r="C632" i="65"/>
  <c r="C610" i="65"/>
  <c r="C618" i="65"/>
  <c r="C626" i="65"/>
  <c r="A681" i="65"/>
  <c r="A665" i="65"/>
  <c r="A669" i="65"/>
  <c r="A677" i="65"/>
  <c r="A685" i="65"/>
  <c r="A661" i="65"/>
  <c r="A673" i="65"/>
  <c r="A629" i="65"/>
  <c r="A633" i="65"/>
  <c r="A662" i="65"/>
  <c r="C662" i="65"/>
  <c r="A670" i="65"/>
  <c r="C670" i="65"/>
  <c r="A678" i="65"/>
  <c r="C678" i="65"/>
  <c r="A686" i="65"/>
  <c r="C686" i="65"/>
  <c r="A694" i="65"/>
  <c r="C694" i="65"/>
  <c r="A702" i="65"/>
  <c r="C702" i="65"/>
  <c r="A710" i="65"/>
  <c r="C710" i="65"/>
  <c r="A664" i="65"/>
  <c r="C664" i="65"/>
  <c r="A672" i="65"/>
  <c r="C672" i="65"/>
  <c r="A680" i="65"/>
  <c r="C680" i="65"/>
  <c r="A688" i="65"/>
  <c r="C688" i="65"/>
  <c r="A696" i="65"/>
  <c r="C696" i="65"/>
  <c r="A704" i="65"/>
  <c r="C704" i="65"/>
  <c r="A712" i="65"/>
  <c r="C712" i="65"/>
  <c r="A756" i="65"/>
  <c r="A758" i="65"/>
  <c r="A760" i="65"/>
  <c r="A762" i="65"/>
  <c r="A764" i="65"/>
  <c r="A713" i="65"/>
  <c r="A715" i="65"/>
  <c r="A717" i="65"/>
  <c r="A719" i="65"/>
  <c r="A721" i="65"/>
  <c r="A723" i="65"/>
  <c r="A725" i="65"/>
  <c r="A727" i="65"/>
  <c r="A729" i="65"/>
  <c r="A731" i="65"/>
  <c r="A733" i="65"/>
  <c r="A735" i="65"/>
  <c r="A737" i="65"/>
  <c r="A658" i="65"/>
  <c r="C658" i="65"/>
  <c r="A666" i="65"/>
  <c r="C666" i="65"/>
  <c r="A674" i="65"/>
  <c r="C674" i="65"/>
  <c r="A682" i="65"/>
  <c r="C682" i="65"/>
  <c r="A690" i="65"/>
  <c r="C690" i="65"/>
  <c r="A698" i="65"/>
  <c r="C698" i="65"/>
  <c r="A706" i="65"/>
  <c r="C706" i="65"/>
  <c r="A636" i="65"/>
  <c r="A640" i="65"/>
  <c r="A644" i="65"/>
  <c r="A648" i="65"/>
  <c r="A652" i="65"/>
  <c r="A656" i="65"/>
  <c r="A660" i="65"/>
  <c r="C660" i="65"/>
  <c r="A668" i="65"/>
  <c r="C668" i="65"/>
  <c r="A676" i="65"/>
  <c r="C676" i="65"/>
  <c r="A684" i="65"/>
  <c r="C684" i="65"/>
  <c r="A692" i="65"/>
  <c r="C692" i="65"/>
  <c r="A700" i="65"/>
  <c r="C700" i="65"/>
  <c r="A708" i="65"/>
  <c r="C708" i="65"/>
  <c r="A716" i="65"/>
  <c r="A720" i="65"/>
  <c r="A726" i="65"/>
  <c r="A730" i="65"/>
  <c r="A736" i="65"/>
  <c r="A714" i="65"/>
  <c r="A718" i="65"/>
  <c r="A722" i="65"/>
  <c r="A724" i="65"/>
  <c r="A728" i="65"/>
  <c r="A732" i="65"/>
  <c r="A734" i="65"/>
  <c r="A738" i="65"/>
  <c r="C756" i="65"/>
  <c r="C758" i="65"/>
  <c r="C760" i="65"/>
  <c r="C762" i="65"/>
  <c r="C764" i="65"/>
  <c r="U6" i="68"/>
  <c r="O6" i="68"/>
  <c r="M5" i="68"/>
  <c r="A1" i="68"/>
  <c r="C918" i="65"/>
  <c r="C914" i="65"/>
  <c r="C910" i="65"/>
  <c r="C907" i="65"/>
  <c r="C906" i="65"/>
  <c r="C902" i="65"/>
  <c r="C901" i="65"/>
  <c r="C898" i="65"/>
  <c r="C897" i="65"/>
  <c r="C894" i="65"/>
  <c r="A893" i="65"/>
  <c r="C891" i="65"/>
  <c r="C890" i="65"/>
  <c r="C889" i="65"/>
  <c r="C888" i="65"/>
  <c r="C886" i="65"/>
  <c r="A885" i="65"/>
  <c r="C883" i="65"/>
  <c r="C882" i="65"/>
  <c r="C881" i="65"/>
  <c r="C880" i="65"/>
  <c r="C878" i="65"/>
  <c r="A877" i="65"/>
  <c r="C875" i="65"/>
  <c r="C874" i="65"/>
  <c r="C873" i="65"/>
  <c r="C872" i="65"/>
  <c r="C870" i="65"/>
  <c r="A869" i="65"/>
  <c r="A891" i="65"/>
  <c r="A887" i="65"/>
  <c r="A883" i="65"/>
  <c r="A879" i="65"/>
  <c r="A875" i="65"/>
  <c r="A871" i="65"/>
  <c r="C866" i="65"/>
  <c r="C865" i="65"/>
  <c r="C862" i="65"/>
  <c r="C858" i="65"/>
  <c r="C855" i="65"/>
  <c r="C854" i="65"/>
  <c r="C853" i="65"/>
  <c r="C850" i="65"/>
  <c r="C846" i="65"/>
  <c r="A868" i="65"/>
  <c r="A867" i="65"/>
  <c r="A864" i="65"/>
  <c r="A863" i="65"/>
  <c r="A860" i="65"/>
  <c r="A859" i="65"/>
  <c r="A856" i="65"/>
  <c r="A855" i="65"/>
  <c r="A852" i="65"/>
  <c r="A851" i="65"/>
  <c r="A848" i="65"/>
  <c r="A844" i="65"/>
  <c r="A843" i="65"/>
  <c r="C842" i="65"/>
  <c r="C840" i="65"/>
  <c r="C838" i="65"/>
  <c r="C836" i="65"/>
  <c r="C834" i="65"/>
  <c r="C833" i="65"/>
  <c r="C832" i="65"/>
  <c r="C831" i="65"/>
  <c r="C830" i="65"/>
  <c r="C828" i="65"/>
  <c r="C826" i="65"/>
  <c r="C825" i="65"/>
  <c r="C824" i="65"/>
  <c r="C823" i="65"/>
  <c r="C822" i="65"/>
  <c r="C820" i="65"/>
  <c r="C819" i="65"/>
  <c r="C818" i="65"/>
  <c r="C817" i="65"/>
  <c r="C839" i="65"/>
  <c r="C837" i="65"/>
  <c r="C835" i="65"/>
  <c r="C829" i="65"/>
  <c r="C827" i="65"/>
  <c r="C821" i="65"/>
  <c r="C868" i="65"/>
  <c r="C867" i="65"/>
  <c r="C864" i="65"/>
  <c r="C863" i="65"/>
  <c r="C860" i="65"/>
  <c r="C859" i="65"/>
  <c r="C856" i="65"/>
  <c r="C852" i="65"/>
  <c r="C851" i="65"/>
  <c r="C849" i="65"/>
  <c r="C848" i="65"/>
  <c r="C847" i="65"/>
  <c r="A847" i="65"/>
  <c r="C844" i="65"/>
  <c r="C843" i="65"/>
  <c r="C892" i="65"/>
  <c r="A890" i="65"/>
  <c r="A889" i="65"/>
  <c r="C884" i="65"/>
  <c r="A882" i="65"/>
  <c r="A881" i="65"/>
  <c r="C876" i="65"/>
  <c r="A874" i="65"/>
  <c r="C893" i="65"/>
  <c r="C887" i="65"/>
  <c r="C879" i="65"/>
  <c r="C877" i="65"/>
  <c r="C871" i="65"/>
  <c r="C920" i="65"/>
  <c r="C916" i="65"/>
  <c r="C912" i="65"/>
  <c r="C908" i="65"/>
  <c r="C903" i="65"/>
  <c r="C904" i="65"/>
  <c r="C905" i="65"/>
  <c r="C896" i="65"/>
  <c r="C899" i="65"/>
  <c r="C900" i="65"/>
  <c r="C845" i="65" l="1"/>
  <c r="A845" i="65"/>
  <c r="C857" i="65"/>
  <c r="A857" i="65"/>
  <c r="C861" i="65"/>
  <c r="A861" i="65"/>
  <c r="A873" i="65"/>
  <c r="C869" i="65"/>
  <c r="C885" i="65"/>
  <c r="A853" i="65"/>
  <c r="A849" i="65"/>
  <c r="A865" i="65"/>
  <c r="A817" i="65"/>
  <c r="A819" i="65"/>
  <c r="A821" i="65"/>
  <c r="A823" i="65"/>
  <c r="A825" i="65"/>
  <c r="A827" i="65"/>
  <c r="A829" i="65"/>
  <c r="A831" i="65"/>
  <c r="A833" i="65"/>
  <c r="A835" i="65"/>
  <c r="A837" i="65"/>
  <c r="A839" i="65"/>
  <c r="A841" i="65"/>
  <c r="A870" i="65"/>
  <c r="A878" i="65"/>
  <c r="A886" i="65"/>
  <c r="A894" i="65"/>
  <c r="A876" i="65"/>
  <c r="A884" i="65"/>
  <c r="A892" i="65"/>
  <c r="A872" i="65"/>
  <c r="A880" i="65"/>
  <c r="A888" i="65"/>
  <c r="A846" i="65"/>
  <c r="A850" i="65"/>
  <c r="A854" i="65"/>
  <c r="A858" i="65"/>
  <c r="A862" i="65"/>
  <c r="A866" i="65"/>
  <c r="C841" i="65"/>
  <c r="A818" i="65"/>
  <c r="A820" i="65"/>
  <c r="A822" i="65"/>
  <c r="A824" i="65"/>
  <c r="A826" i="65"/>
  <c r="A828" i="65"/>
  <c r="A830" i="65"/>
  <c r="A832" i="65"/>
  <c r="A834" i="65"/>
  <c r="A836" i="65"/>
  <c r="A838" i="65"/>
  <c r="A840" i="65"/>
  <c r="A842" i="65"/>
  <c r="A909" i="65"/>
  <c r="A913" i="65"/>
  <c r="A917" i="65"/>
  <c r="A907" i="65"/>
  <c r="A905" i="65"/>
  <c r="A903" i="65"/>
  <c r="A901" i="65"/>
  <c r="A911" i="65"/>
  <c r="A915" i="65"/>
  <c r="A919" i="65"/>
  <c r="C909" i="65"/>
  <c r="C911" i="65"/>
  <c r="C913" i="65"/>
  <c r="C915" i="65"/>
  <c r="C917" i="65"/>
  <c r="C919" i="65"/>
  <c r="A908" i="65"/>
  <c r="A910" i="65"/>
  <c r="A912" i="65"/>
  <c r="A914" i="65"/>
  <c r="A916" i="65"/>
  <c r="A918" i="65"/>
  <c r="A920" i="65"/>
  <c r="A906" i="65"/>
  <c r="A904" i="65"/>
  <c r="A902" i="65"/>
  <c r="A900" i="65"/>
  <c r="A899" i="65"/>
  <c r="A898" i="65"/>
  <c r="A896" i="65"/>
  <c r="A897" i="65"/>
  <c r="C895" i="65" l="1"/>
  <c r="A895" i="65" l="1"/>
  <c r="Z27" i="67" l="1"/>
  <c r="G31" i="1" l="1"/>
  <c r="D35" i="57" l="1"/>
  <c r="D31" i="57"/>
  <c r="D33" i="58"/>
  <c r="D29" i="58"/>
  <c r="D29" i="57"/>
  <c r="D35" i="58"/>
  <c r="D32" i="57"/>
  <c r="D30" i="58"/>
  <c r="D34" i="57"/>
  <c r="D30" i="57"/>
  <c r="D32" i="58"/>
  <c r="D33" i="57"/>
  <c r="D31" i="58"/>
  <c r="D34" i="58"/>
  <c r="F60" i="67" a="1"/>
  <c r="N60" i="67" s="1"/>
  <c r="E60" i="67"/>
  <c r="K60" i="67" l="1"/>
  <c r="G60" i="67"/>
  <c r="O60" i="67"/>
  <c r="H60" i="67"/>
  <c r="L60" i="67"/>
  <c r="P60" i="67"/>
  <c r="I60" i="67"/>
  <c r="M60" i="67"/>
  <c r="Q60" i="67"/>
  <c r="F60" i="67"/>
  <c r="J60" i="67"/>
  <c r="T13" i="58"/>
  <c r="T13" i="57"/>
  <c r="T13" i="59"/>
  <c r="T13" i="55"/>
  <c r="E10" i="66" l="1" a="1"/>
  <c r="E10" i="66" s="1"/>
  <c r="E13" i="66" l="1"/>
  <c r="E12" i="66"/>
  <c r="E11" i="66"/>
  <c r="E15" i="66" s="1"/>
  <c r="E14" i="66"/>
  <c r="U6" i="67" l="1"/>
  <c r="E56" i="67" a="1"/>
  <c r="E59" i="67" s="1"/>
  <c r="E52" i="67" a="1"/>
  <c r="E55" i="67" s="1"/>
  <c r="E48" i="67" a="1"/>
  <c r="E50" i="67" s="1"/>
  <c r="E43" i="67"/>
  <c r="F43" i="67" a="1"/>
  <c r="F43" i="67" s="1"/>
  <c r="E44" i="67" a="1"/>
  <c r="E44" i="67" s="1"/>
  <c r="O7" i="67"/>
  <c r="O6" i="67"/>
  <c r="M5" i="67"/>
  <c r="A1" i="67"/>
  <c r="M5" i="66"/>
  <c r="U6" i="66"/>
  <c r="O6" i="66"/>
  <c r="O7" i="66"/>
  <c r="A1" i="66"/>
  <c r="M43" i="67" l="1"/>
  <c r="I43" i="67"/>
  <c r="Q43" i="67"/>
  <c r="E52" i="67"/>
  <c r="E54" i="67"/>
  <c r="E53" i="67"/>
  <c r="E47" i="67"/>
  <c r="E56" i="67"/>
  <c r="E57" i="67"/>
  <c r="E58" i="67"/>
  <c r="E49" i="67"/>
  <c r="E51" i="67"/>
  <c r="E48" i="67"/>
  <c r="P43" i="67"/>
  <c r="L43" i="67"/>
  <c r="H43" i="67"/>
  <c r="O43" i="67"/>
  <c r="K43" i="67"/>
  <c r="G43" i="67"/>
  <c r="N43" i="67"/>
  <c r="J43" i="67"/>
  <c r="E46" i="67"/>
  <c r="E45" i="67"/>
  <c r="E34" i="63"/>
  <c r="J4" i="1"/>
  <c r="E7" i="73" s="1"/>
  <c r="J3" i="1"/>
  <c r="E6" i="73" s="1"/>
  <c r="E6" i="71" l="1"/>
  <c r="E6" i="72"/>
  <c r="E7" i="71"/>
  <c r="E7" i="72"/>
  <c r="E7" i="68"/>
  <c r="E7" i="69"/>
  <c r="E6" i="68"/>
  <c r="E6" i="69"/>
  <c r="E6" i="66"/>
  <c r="E6" i="67"/>
  <c r="E7" i="66"/>
  <c r="E7" i="67"/>
  <c r="U6" i="63"/>
  <c r="U6" i="61"/>
  <c r="U6" i="55"/>
  <c r="E33" i="63"/>
  <c r="E23" i="61" l="1"/>
  <c r="E14" i="59" l="1"/>
  <c r="E13" i="59"/>
  <c r="E14" i="57"/>
  <c r="E13" i="57"/>
  <c r="E14" i="58"/>
  <c r="E13" i="58"/>
  <c r="E14" i="55"/>
  <c r="E13" i="55"/>
  <c r="P7" i="55"/>
  <c r="O7" i="63"/>
  <c r="G18" i="1"/>
  <c r="C607" i="65" l="1"/>
  <c r="C606" i="65"/>
  <c r="C605" i="65"/>
  <c r="C604" i="65"/>
  <c r="C603" i="65"/>
  <c r="C602" i="65"/>
  <c r="C601" i="65"/>
  <c r="C600" i="65"/>
  <c r="C599" i="65"/>
  <c r="C598" i="65"/>
  <c r="C597" i="65"/>
  <c r="C596" i="65"/>
  <c r="C595" i="65"/>
  <c r="C594" i="65"/>
  <c r="C593" i="65"/>
  <c r="C592" i="65"/>
  <c r="C591" i="65"/>
  <c r="C590" i="65"/>
  <c r="C589" i="65"/>
  <c r="C588" i="65"/>
  <c r="C587" i="65"/>
  <c r="C586" i="65"/>
  <c r="C585" i="65"/>
  <c r="C584" i="65"/>
  <c r="C583" i="65"/>
  <c r="C582" i="65"/>
  <c r="C581" i="65"/>
  <c r="C580" i="65"/>
  <c r="C579" i="65"/>
  <c r="C578" i="65"/>
  <c r="C577" i="65"/>
  <c r="C576" i="65"/>
  <c r="C575" i="65"/>
  <c r="C574" i="65"/>
  <c r="C573" i="65"/>
  <c r="C572" i="65"/>
  <c r="C571" i="65"/>
  <c r="C570" i="65"/>
  <c r="C569" i="65"/>
  <c r="C568" i="65"/>
  <c r="C567" i="65"/>
  <c r="C566" i="65"/>
  <c r="C565" i="65"/>
  <c r="C564" i="65"/>
  <c r="C563" i="65"/>
  <c r="C562" i="65"/>
  <c r="C561" i="65"/>
  <c r="C560" i="65"/>
  <c r="C559" i="65"/>
  <c r="C558" i="65"/>
  <c r="C557" i="65"/>
  <c r="C556" i="65"/>
  <c r="C555" i="65"/>
  <c r="C554" i="65"/>
  <c r="C553" i="65"/>
  <c r="C552" i="65"/>
  <c r="C551" i="65"/>
  <c r="C550" i="65"/>
  <c r="C549" i="65"/>
  <c r="C548" i="65"/>
  <c r="C547" i="65"/>
  <c r="C546" i="65"/>
  <c r="C545" i="65"/>
  <c r="C544" i="65"/>
  <c r="C543" i="65"/>
  <c r="C542" i="65"/>
  <c r="C541" i="65"/>
  <c r="C540" i="65"/>
  <c r="C539" i="65"/>
  <c r="C538" i="65"/>
  <c r="C537" i="65"/>
  <c r="C536" i="65"/>
  <c r="A536" i="65"/>
  <c r="C535" i="65"/>
  <c r="C534" i="65"/>
  <c r="C533" i="65"/>
  <c r="C532" i="65"/>
  <c r="C531" i="65"/>
  <c r="C530" i="65"/>
  <c r="C529" i="65"/>
  <c r="A529" i="65"/>
  <c r="C528" i="65"/>
  <c r="C527" i="65"/>
  <c r="C526" i="65"/>
  <c r="C525" i="65"/>
  <c r="C524" i="65"/>
  <c r="C523" i="65"/>
  <c r="C522" i="65"/>
  <c r="C521" i="65"/>
  <c r="C520" i="65"/>
  <c r="C519" i="65"/>
  <c r="C518" i="65"/>
  <c r="C517" i="65"/>
  <c r="C516" i="65"/>
  <c r="C515" i="65"/>
  <c r="C514" i="65"/>
  <c r="A514" i="65"/>
  <c r="C513" i="65"/>
  <c r="C512" i="65"/>
  <c r="C511" i="65"/>
  <c r="C510" i="65"/>
  <c r="C509" i="65"/>
  <c r="A509" i="65"/>
  <c r="C508" i="65"/>
  <c r="C507" i="65"/>
  <c r="C506" i="65"/>
  <c r="A506" i="65"/>
  <c r="C505" i="65"/>
  <c r="A505" i="65"/>
  <c r="C504" i="65"/>
  <c r="A504" i="65"/>
  <c r="C503" i="65"/>
  <c r="C502" i="65"/>
  <c r="A502" i="65"/>
  <c r="C501" i="65"/>
  <c r="C500" i="65"/>
  <c r="A500" i="65"/>
  <c r="C499" i="65"/>
  <c r="C498" i="65"/>
  <c r="A498" i="65"/>
  <c r="C497" i="65"/>
  <c r="C496" i="65"/>
  <c r="A496" i="65"/>
  <c r="C495" i="65"/>
  <c r="C494" i="65"/>
  <c r="A494" i="65"/>
  <c r="C493" i="65"/>
  <c r="C492" i="65"/>
  <c r="A492" i="65"/>
  <c r="C491" i="65"/>
  <c r="C490" i="65"/>
  <c r="A490" i="65"/>
  <c r="C489" i="65"/>
  <c r="C488" i="65"/>
  <c r="A488" i="65"/>
  <c r="C487" i="65"/>
  <c r="C486" i="65"/>
  <c r="A486" i="65"/>
  <c r="C485" i="65"/>
  <c r="C484" i="65"/>
  <c r="A484" i="65"/>
  <c r="C483" i="65"/>
  <c r="C482" i="65"/>
  <c r="A482" i="65"/>
  <c r="C481" i="65"/>
  <c r="C480" i="65"/>
  <c r="A480" i="65"/>
  <c r="C479" i="65"/>
  <c r="C478" i="65"/>
  <c r="A478" i="65"/>
  <c r="C477" i="65"/>
  <c r="C476" i="65"/>
  <c r="A476" i="65"/>
  <c r="C475" i="65"/>
  <c r="C474" i="65"/>
  <c r="A474" i="65"/>
  <c r="C473" i="65"/>
  <c r="C472" i="65"/>
  <c r="A472" i="65"/>
  <c r="C471" i="65"/>
  <c r="C470" i="65"/>
  <c r="A470" i="65"/>
  <c r="C469" i="65"/>
  <c r="C468" i="65"/>
  <c r="A468" i="65"/>
  <c r="C467" i="65"/>
  <c r="C466" i="65"/>
  <c r="A466" i="65"/>
  <c r="C465" i="65"/>
  <c r="C464" i="65"/>
  <c r="A464" i="65"/>
  <c r="C463" i="65"/>
  <c r="C462" i="65"/>
  <c r="A462" i="65"/>
  <c r="C461" i="65"/>
  <c r="C460" i="65"/>
  <c r="A460" i="65"/>
  <c r="C459" i="65"/>
  <c r="C458" i="65"/>
  <c r="A458" i="65"/>
  <c r="C457" i="65"/>
  <c r="C456" i="65"/>
  <c r="A456" i="65"/>
  <c r="C455" i="65"/>
  <c r="C454" i="65"/>
  <c r="A454" i="65"/>
  <c r="C453" i="65"/>
  <c r="C452" i="65"/>
  <c r="A452" i="65"/>
  <c r="C451" i="65"/>
  <c r="C450" i="65"/>
  <c r="A450" i="65"/>
  <c r="C449" i="65"/>
  <c r="C448" i="65"/>
  <c r="A448" i="65"/>
  <c r="C447" i="65"/>
  <c r="C446" i="65"/>
  <c r="A446" i="65"/>
  <c r="C445" i="65"/>
  <c r="C444" i="65"/>
  <c r="A444" i="65"/>
  <c r="C443" i="65"/>
  <c r="C442" i="65"/>
  <c r="A442" i="65"/>
  <c r="C441" i="65"/>
  <c r="C440" i="65"/>
  <c r="A440" i="65"/>
  <c r="C439" i="65"/>
  <c r="C438" i="65"/>
  <c r="A438" i="65"/>
  <c r="C437" i="65"/>
  <c r="A437" i="65"/>
  <c r="C434" i="65"/>
  <c r="C433" i="65"/>
  <c r="C432" i="65"/>
  <c r="A432" i="65"/>
  <c r="C431" i="65"/>
  <c r="A431" i="65"/>
  <c r="C430" i="65"/>
  <c r="C429" i="65"/>
  <c r="A429" i="65"/>
  <c r="C428" i="65"/>
  <c r="A428" i="65"/>
  <c r="C427" i="65"/>
  <c r="A427" i="65"/>
  <c r="C426" i="65"/>
  <c r="A426" i="65"/>
  <c r="C425" i="65"/>
  <c r="C424" i="65"/>
  <c r="A424" i="65"/>
  <c r="C423" i="65"/>
  <c r="A423" i="65"/>
  <c r="C422" i="65"/>
  <c r="A422" i="65"/>
  <c r="C421" i="65"/>
  <c r="A421" i="65"/>
  <c r="C418" i="65"/>
  <c r="C417" i="65"/>
  <c r="C416" i="65"/>
  <c r="A416" i="65"/>
  <c r="C415" i="65"/>
  <c r="A415" i="65"/>
  <c r="C414" i="65"/>
  <c r="C413" i="65"/>
  <c r="A413" i="65"/>
  <c r="C412" i="65"/>
  <c r="A412" i="65"/>
  <c r="C411" i="65"/>
  <c r="A411" i="65"/>
  <c r="C410" i="65"/>
  <c r="A410" i="65"/>
  <c r="C409" i="65"/>
  <c r="C408" i="65"/>
  <c r="A408" i="65"/>
  <c r="C407" i="65"/>
  <c r="A407" i="65"/>
  <c r="C406" i="65"/>
  <c r="A406" i="65"/>
  <c r="C405" i="65"/>
  <c r="A405" i="65"/>
  <c r="C402" i="65"/>
  <c r="C401" i="65"/>
  <c r="C400" i="65"/>
  <c r="A400" i="65"/>
  <c r="C399" i="65"/>
  <c r="A399" i="65"/>
  <c r="C398" i="65"/>
  <c r="C397" i="65"/>
  <c r="A397" i="65"/>
  <c r="C396" i="65"/>
  <c r="A396" i="65"/>
  <c r="C395" i="65"/>
  <c r="A395" i="65"/>
  <c r="C394" i="65"/>
  <c r="A394" i="65"/>
  <c r="C393" i="65"/>
  <c r="C392" i="65"/>
  <c r="A392" i="65"/>
  <c r="C391" i="65"/>
  <c r="A391" i="65"/>
  <c r="C390" i="65"/>
  <c r="A390" i="65"/>
  <c r="C389" i="65"/>
  <c r="A389" i="65"/>
  <c r="C386" i="65"/>
  <c r="C385" i="65"/>
  <c r="C384" i="65"/>
  <c r="A384" i="65"/>
  <c r="C383" i="65"/>
  <c r="A383" i="65"/>
  <c r="C382" i="65"/>
  <c r="C381" i="65"/>
  <c r="A381" i="65"/>
  <c r="C380" i="65"/>
  <c r="A380" i="65"/>
  <c r="C379" i="65"/>
  <c r="A379" i="65"/>
  <c r="C378" i="65"/>
  <c r="A378" i="65"/>
  <c r="C377" i="65"/>
  <c r="C376" i="65"/>
  <c r="A376" i="65"/>
  <c r="C375" i="65"/>
  <c r="A375" i="65"/>
  <c r="C374" i="65"/>
  <c r="A374" i="65"/>
  <c r="C373" i="65"/>
  <c r="A373" i="65"/>
  <c r="C370" i="65"/>
  <c r="C369" i="65"/>
  <c r="C368" i="65"/>
  <c r="A368" i="65"/>
  <c r="C367" i="65"/>
  <c r="A367" i="65"/>
  <c r="C366" i="65"/>
  <c r="C365" i="65"/>
  <c r="A365" i="65"/>
  <c r="C364" i="65"/>
  <c r="A364" i="65"/>
  <c r="C363" i="65"/>
  <c r="A363" i="65"/>
  <c r="C362" i="65"/>
  <c r="A362" i="65"/>
  <c r="C361" i="65"/>
  <c r="C360" i="65"/>
  <c r="A360" i="65"/>
  <c r="C359" i="65"/>
  <c r="A359" i="65"/>
  <c r="C358" i="65"/>
  <c r="A358" i="65"/>
  <c r="C357" i="65"/>
  <c r="A357" i="65"/>
  <c r="C355" i="65"/>
  <c r="A355" i="65"/>
  <c r="C354" i="65"/>
  <c r="A354" i="65"/>
  <c r="C353" i="65"/>
  <c r="C352" i="65"/>
  <c r="A352" i="65"/>
  <c r="C351" i="65"/>
  <c r="A351" i="65"/>
  <c r="C350" i="65"/>
  <c r="C349" i="65"/>
  <c r="A349" i="65"/>
  <c r="C348" i="65"/>
  <c r="A348" i="65"/>
  <c r="C347" i="65"/>
  <c r="A347" i="65"/>
  <c r="C346" i="65"/>
  <c r="A346" i="65"/>
  <c r="C345" i="65"/>
  <c r="C344" i="65"/>
  <c r="A344" i="65"/>
  <c r="C343" i="65"/>
  <c r="A343" i="65"/>
  <c r="C342" i="65"/>
  <c r="A342" i="65"/>
  <c r="C341" i="65"/>
  <c r="A341" i="65"/>
  <c r="C340" i="65"/>
  <c r="C339" i="65"/>
  <c r="C338" i="65"/>
  <c r="C337" i="65"/>
  <c r="C336" i="65"/>
  <c r="A336" i="65"/>
  <c r="C335" i="65"/>
  <c r="A335" i="65"/>
  <c r="C334" i="65"/>
  <c r="C333" i="65"/>
  <c r="A333" i="65"/>
  <c r="C332" i="65"/>
  <c r="C331" i="65"/>
  <c r="C330" i="65"/>
  <c r="A330" i="65"/>
  <c r="C329" i="65"/>
  <c r="C328" i="65"/>
  <c r="A328" i="65"/>
  <c r="C326" i="65"/>
  <c r="A326" i="65"/>
  <c r="C325" i="65"/>
  <c r="A325" i="65"/>
  <c r="C324" i="65"/>
  <c r="A324" i="65"/>
  <c r="C323" i="65"/>
  <c r="A323" i="65"/>
  <c r="C322" i="65"/>
  <c r="C321" i="65"/>
  <c r="C320" i="65"/>
  <c r="A320" i="65"/>
  <c r="C318" i="65"/>
  <c r="C317" i="65"/>
  <c r="C316" i="65"/>
  <c r="A316" i="65"/>
  <c r="C315" i="65"/>
  <c r="C314" i="65"/>
  <c r="C313" i="65"/>
  <c r="C312" i="65"/>
  <c r="A312" i="65"/>
  <c r="C310" i="65"/>
  <c r="C309" i="65"/>
  <c r="A309" i="65"/>
  <c r="C308" i="65"/>
  <c r="A308" i="65"/>
  <c r="C307" i="65"/>
  <c r="A307" i="65"/>
  <c r="C306" i="65"/>
  <c r="A306" i="65"/>
  <c r="C305" i="65"/>
  <c r="C304" i="65"/>
  <c r="A304" i="65"/>
  <c r="C302" i="65"/>
  <c r="A302" i="65"/>
  <c r="C301" i="65"/>
  <c r="A301" i="65"/>
  <c r="C300" i="65"/>
  <c r="A300" i="65"/>
  <c r="C299" i="65"/>
  <c r="A299" i="65"/>
  <c r="C298" i="65"/>
  <c r="A298" i="65"/>
  <c r="C297" i="65"/>
  <c r="C296" i="65"/>
  <c r="A296" i="65"/>
  <c r="C294" i="65"/>
  <c r="C293" i="65"/>
  <c r="C292" i="65"/>
  <c r="C291" i="65"/>
  <c r="C290" i="65"/>
  <c r="C289" i="65"/>
  <c r="A288" i="65"/>
  <c r="C288" i="65"/>
  <c r="C286" i="65"/>
  <c r="C285" i="65"/>
  <c r="A284" i="65"/>
  <c r="C284" i="65"/>
  <c r="C283" i="65"/>
  <c r="C282" i="65"/>
  <c r="C281" i="65"/>
  <c r="C280" i="65"/>
  <c r="C278" i="65"/>
  <c r="C277" i="65"/>
  <c r="C276" i="65"/>
  <c r="C275" i="65"/>
  <c r="A275" i="65"/>
  <c r="C274" i="65"/>
  <c r="A274" i="65"/>
  <c r="C273" i="65"/>
  <c r="C272" i="65"/>
  <c r="A272" i="65"/>
  <c r="C270" i="65"/>
  <c r="A270" i="65"/>
  <c r="C269" i="65"/>
  <c r="A269" i="65"/>
  <c r="C268" i="65"/>
  <c r="A268" i="65"/>
  <c r="C267" i="65"/>
  <c r="A267" i="65"/>
  <c r="C266" i="65"/>
  <c r="A266" i="65"/>
  <c r="C265" i="65"/>
  <c r="A265" i="65"/>
  <c r="C264" i="65"/>
  <c r="A264" i="65"/>
  <c r="C263" i="65"/>
  <c r="A263" i="65"/>
  <c r="C262" i="65"/>
  <c r="A262" i="65"/>
  <c r="C261" i="65"/>
  <c r="A261" i="65"/>
  <c r="C260" i="65"/>
  <c r="A260" i="65"/>
  <c r="C259" i="65"/>
  <c r="A259" i="65"/>
  <c r="C258" i="65"/>
  <c r="A258" i="65"/>
  <c r="C257" i="65"/>
  <c r="A257" i="65"/>
  <c r="C256" i="65"/>
  <c r="A256" i="65"/>
  <c r="C255" i="65"/>
  <c r="A255" i="65"/>
  <c r="C254" i="65"/>
  <c r="A254" i="65"/>
  <c r="C253" i="65"/>
  <c r="A253" i="65"/>
  <c r="C252" i="65"/>
  <c r="A252" i="65"/>
  <c r="C251" i="65"/>
  <c r="A251" i="65"/>
  <c r="C250" i="65"/>
  <c r="A250" i="65"/>
  <c r="C249" i="65"/>
  <c r="A249" i="65"/>
  <c r="C248" i="65"/>
  <c r="A248" i="65"/>
  <c r="C247" i="65"/>
  <c r="A247" i="65"/>
  <c r="C246" i="65"/>
  <c r="A246" i="65"/>
  <c r="C245" i="65"/>
  <c r="A245" i="65"/>
  <c r="C244" i="65"/>
  <c r="A244" i="65"/>
  <c r="C243" i="65"/>
  <c r="A243" i="65"/>
  <c r="C242" i="65"/>
  <c r="A242" i="65"/>
  <c r="C241" i="65"/>
  <c r="A241" i="65"/>
  <c r="C240" i="65"/>
  <c r="A240" i="65"/>
  <c r="C239" i="65"/>
  <c r="A239" i="65"/>
  <c r="C238" i="65"/>
  <c r="A238" i="65"/>
  <c r="C237" i="65"/>
  <c r="A237" i="65"/>
  <c r="C236" i="65"/>
  <c r="A236" i="65"/>
  <c r="C235" i="65"/>
  <c r="A235" i="65"/>
  <c r="C234" i="65"/>
  <c r="A234" i="65"/>
  <c r="C233" i="65"/>
  <c r="A233" i="65"/>
  <c r="C232" i="65"/>
  <c r="A232" i="65"/>
  <c r="C231" i="65"/>
  <c r="A231" i="65"/>
  <c r="C230" i="65"/>
  <c r="A230" i="65"/>
  <c r="C229" i="65"/>
  <c r="A229" i="65"/>
  <c r="C228" i="65"/>
  <c r="A228" i="65"/>
  <c r="C227" i="65"/>
  <c r="A227" i="65"/>
  <c r="C226" i="65"/>
  <c r="A226" i="65"/>
  <c r="C225" i="65"/>
  <c r="A225" i="65"/>
  <c r="C224" i="65"/>
  <c r="A224" i="65"/>
  <c r="C223" i="65"/>
  <c r="A223" i="65"/>
  <c r="C222" i="65"/>
  <c r="A222" i="65"/>
  <c r="C221" i="65"/>
  <c r="A221" i="65"/>
  <c r="C220" i="65"/>
  <c r="A220" i="65"/>
  <c r="C219" i="65"/>
  <c r="A219" i="65"/>
  <c r="C218" i="65"/>
  <c r="A218" i="65"/>
  <c r="C217" i="65"/>
  <c r="A217" i="65"/>
  <c r="C216" i="65"/>
  <c r="A216" i="65"/>
  <c r="C215" i="65"/>
  <c r="A215" i="65"/>
  <c r="C214" i="65"/>
  <c r="A214" i="65"/>
  <c r="C213" i="65"/>
  <c r="A213" i="65"/>
  <c r="C212" i="65"/>
  <c r="A212" i="65"/>
  <c r="C211" i="65"/>
  <c r="A211" i="65"/>
  <c r="C210" i="65"/>
  <c r="A210" i="65"/>
  <c r="C209" i="65"/>
  <c r="A209" i="65"/>
  <c r="C208" i="65"/>
  <c r="A208" i="65"/>
  <c r="C207" i="65"/>
  <c r="A207" i="65"/>
  <c r="C206" i="65"/>
  <c r="A206" i="65"/>
  <c r="C205" i="65"/>
  <c r="A205" i="65"/>
  <c r="C204" i="65"/>
  <c r="A204" i="65"/>
  <c r="C203" i="65"/>
  <c r="A203" i="65"/>
  <c r="C202" i="65"/>
  <c r="A202" i="65"/>
  <c r="C201" i="65"/>
  <c r="A201" i="65"/>
  <c r="C200" i="65"/>
  <c r="A200" i="65"/>
  <c r="C199" i="65"/>
  <c r="A199" i="65"/>
  <c r="C198" i="65"/>
  <c r="A198" i="65"/>
  <c r="C197" i="65"/>
  <c r="A197" i="65"/>
  <c r="C196" i="65"/>
  <c r="A196" i="65"/>
  <c r="C195" i="65"/>
  <c r="A195" i="65"/>
  <c r="C194" i="65"/>
  <c r="A194" i="65"/>
  <c r="C193" i="65"/>
  <c r="A193" i="65"/>
  <c r="C192" i="65"/>
  <c r="A192" i="65"/>
  <c r="C191" i="65"/>
  <c r="A191" i="65"/>
  <c r="C190" i="65"/>
  <c r="A190" i="65"/>
  <c r="C189" i="65"/>
  <c r="A189" i="65"/>
  <c r="C188" i="65"/>
  <c r="A188" i="65"/>
  <c r="C187" i="65"/>
  <c r="A187" i="65"/>
  <c r="C186" i="65"/>
  <c r="A186" i="65"/>
  <c r="C185" i="65"/>
  <c r="A185" i="65"/>
  <c r="C184" i="65"/>
  <c r="A184" i="65"/>
  <c r="C183" i="65"/>
  <c r="A183" i="65"/>
  <c r="C182" i="65"/>
  <c r="A182" i="65"/>
  <c r="C181" i="65"/>
  <c r="A181" i="65"/>
  <c r="C180" i="65"/>
  <c r="A180" i="65"/>
  <c r="C179" i="65"/>
  <c r="C178" i="65"/>
  <c r="C177" i="65"/>
  <c r="A177" i="65"/>
  <c r="C176" i="65"/>
  <c r="A176" i="65"/>
  <c r="C175" i="65"/>
  <c r="A175" i="65"/>
  <c r="C174" i="65"/>
  <c r="A174" i="65"/>
  <c r="C173" i="65"/>
  <c r="A173" i="65"/>
  <c r="C172" i="65"/>
  <c r="A172" i="65"/>
  <c r="C171" i="65"/>
  <c r="C170" i="65"/>
  <c r="C169" i="65"/>
  <c r="A169" i="65"/>
  <c r="C168" i="65"/>
  <c r="C167" i="65"/>
  <c r="A167" i="65"/>
  <c r="C166" i="65"/>
  <c r="C165" i="65"/>
  <c r="C164" i="65"/>
  <c r="C163" i="65"/>
  <c r="A162" i="65"/>
  <c r="C161" i="65"/>
  <c r="A160" i="65"/>
  <c r="C160" i="65"/>
  <c r="C159" i="65"/>
  <c r="C158" i="65"/>
  <c r="A158" i="65"/>
  <c r="C157" i="65"/>
  <c r="A157" i="65"/>
  <c r="C156" i="65"/>
  <c r="C155" i="65"/>
  <c r="A154" i="65"/>
  <c r="C154" i="65"/>
  <c r="C153" i="65"/>
  <c r="A153" i="65"/>
  <c r="C152" i="65"/>
  <c r="A152" i="65"/>
  <c r="C151" i="65"/>
  <c r="A151" i="65"/>
  <c r="C150" i="65"/>
  <c r="A150" i="65"/>
  <c r="C149" i="65"/>
  <c r="A149" i="65"/>
  <c r="C148" i="65"/>
  <c r="A148" i="65"/>
  <c r="C147" i="65"/>
  <c r="C146" i="65"/>
  <c r="C145" i="65"/>
  <c r="A145" i="65"/>
  <c r="C144" i="65"/>
  <c r="A144" i="65"/>
  <c r="C143" i="65"/>
  <c r="A143" i="65"/>
  <c r="C142" i="65"/>
  <c r="A142" i="65"/>
  <c r="C141" i="65"/>
  <c r="A141" i="65"/>
  <c r="C140" i="65"/>
  <c r="A140" i="65"/>
  <c r="C139" i="65"/>
  <c r="C138" i="65"/>
  <c r="C137" i="65"/>
  <c r="A137" i="65"/>
  <c r="C136" i="65"/>
  <c r="C135" i="65"/>
  <c r="A135" i="65"/>
  <c r="C134" i="65"/>
  <c r="C133" i="65"/>
  <c r="C132" i="65"/>
  <c r="C131" i="65"/>
  <c r="C130" i="65"/>
  <c r="A129" i="65"/>
  <c r="C128" i="65"/>
  <c r="A128" i="65"/>
  <c r="C127" i="65"/>
  <c r="C126" i="65"/>
  <c r="C124" i="65"/>
  <c r="A124" i="65"/>
  <c r="C123" i="65"/>
  <c r="A123" i="65"/>
  <c r="C122" i="65"/>
  <c r="A122" i="65"/>
  <c r="C120" i="65"/>
  <c r="A120" i="65"/>
  <c r="C119" i="65"/>
  <c r="A119" i="65"/>
  <c r="C118" i="65"/>
  <c r="A118" i="65"/>
  <c r="C116" i="65"/>
  <c r="C115" i="65"/>
  <c r="C114" i="65"/>
  <c r="A113" i="65"/>
  <c r="C112" i="65"/>
  <c r="A112" i="65"/>
  <c r="C111" i="65"/>
  <c r="C110" i="65"/>
  <c r="C108" i="65"/>
  <c r="A108" i="65"/>
  <c r="C107" i="65"/>
  <c r="A107" i="65"/>
  <c r="C106" i="65"/>
  <c r="A106" i="65"/>
  <c r="C104" i="65"/>
  <c r="A104" i="65"/>
  <c r="C103" i="65"/>
  <c r="A103" i="65"/>
  <c r="C102" i="65"/>
  <c r="A102" i="65"/>
  <c r="C100" i="65"/>
  <c r="C99" i="65"/>
  <c r="C98" i="65"/>
  <c r="A97" i="65"/>
  <c r="C96" i="65"/>
  <c r="A96" i="65"/>
  <c r="C95" i="65"/>
  <c r="C94" i="65"/>
  <c r="C92" i="65"/>
  <c r="A92" i="65"/>
  <c r="C91" i="65"/>
  <c r="A91" i="65"/>
  <c r="C90" i="65"/>
  <c r="A90" i="65"/>
  <c r="C88" i="65"/>
  <c r="A88" i="65"/>
  <c r="C87" i="65"/>
  <c r="A87" i="65"/>
  <c r="C86" i="65"/>
  <c r="A86" i="65"/>
  <c r="C84" i="65"/>
  <c r="C83" i="65"/>
  <c r="C82" i="65"/>
  <c r="A81" i="65"/>
  <c r="C80" i="65"/>
  <c r="A80" i="65"/>
  <c r="C79" i="65"/>
  <c r="C78" i="65"/>
  <c r="C76" i="65"/>
  <c r="A76" i="65"/>
  <c r="C75" i="65"/>
  <c r="A75" i="65"/>
  <c r="C74" i="65"/>
  <c r="A74" i="65"/>
  <c r="C72" i="65"/>
  <c r="A72" i="65"/>
  <c r="C71" i="65"/>
  <c r="A71" i="65"/>
  <c r="C70" i="65"/>
  <c r="A70" i="65"/>
  <c r="C68" i="65"/>
  <c r="C67" i="65"/>
  <c r="C66" i="65"/>
  <c r="A65" i="65"/>
  <c r="C64" i="65"/>
  <c r="A64" i="65"/>
  <c r="C63" i="65"/>
  <c r="C62" i="65"/>
  <c r="C60" i="65"/>
  <c r="A60" i="65"/>
  <c r="C59" i="65"/>
  <c r="A59" i="65"/>
  <c r="C58" i="65"/>
  <c r="A58" i="65"/>
  <c r="C56" i="65"/>
  <c r="A56" i="65"/>
  <c r="C55" i="65"/>
  <c r="A55" i="65"/>
  <c r="C54" i="65"/>
  <c r="A54" i="65"/>
  <c r="C52" i="65"/>
  <c r="C51" i="65"/>
  <c r="C50" i="65"/>
  <c r="A49" i="65"/>
  <c r="C48" i="65"/>
  <c r="A48" i="65"/>
  <c r="C47" i="65"/>
  <c r="C46" i="65"/>
  <c r="C45" i="65"/>
  <c r="C44" i="65"/>
  <c r="A44" i="65"/>
  <c r="C43" i="65"/>
  <c r="A43" i="65"/>
  <c r="C42" i="65"/>
  <c r="A42" i="65"/>
  <c r="C40" i="65"/>
  <c r="A40" i="65"/>
  <c r="C39" i="65"/>
  <c r="A39" i="65"/>
  <c r="C38" i="65"/>
  <c r="A38" i="65"/>
  <c r="C36" i="65"/>
  <c r="C35" i="65"/>
  <c r="C34" i="65"/>
  <c r="A33" i="65"/>
  <c r="C32" i="65"/>
  <c r="A32" i="65"/>
  <c r="C31" i="65"/>
  <c r="C30" i="65"/>
  <c r="C28" i="65"/>
  <c r="A28" i="65"/>
  <c r="C27" i="65"/>
  <c r="A27" i="65"/>
  <c r="C26" i="65"/>
  <c r="A26" i="65"/>
  <c r="C25" i="65"/>
  <c r="C24" i="65"/>
  <c r="A24" i="65"/>
  <c r="C23" i="65"/>
  <c r="A23" i="65"/>
  <c r="C22" i="65"/>
  <c r="A22" i="65"/>
  <c r="C20" i="65"/>
  <c r="C19" i="65"/>
  <c r="C18" i="65"/>
  <c r="A17" i="65"/>
  <c r="C16" i="65"/>
  <c r="A16" i="65"/>
  <c r="C15" i="65"/>
  <c r="C14" i="65"/>
  <c r="C12" i="65"/>
  <c r="A12" i="65"/>
  <c r="C11" i="65"/>
  <c r="A11" i="65"/>
  <c r="C10" i="65"/>
  <c r="A10" i="65"/>
  <c r="D3" i="65"/>
  <c r="D2" i="65"/>
  <c r="D1" i="65"/>
  <c r="F21" i="72" l="1" a="1"/>
  <c r="A521" i="65"/>
  <c r="A530" i="65"/>
  <c r="A513" i="65"/>
  <c r="A520" i="65"/>
  <c r="A525" i="65"/>
  <c r="A512" i="65"/>
  <c r="A517" i="65"/>
  <c r="A522" i="65"/>
  <c r="A528" i="65"/>
  <c r="A608" i="65"/>
  <c r="A77" i="65"/>
  <c r="A93" i="65"/>
  <c r="A109" i="65"/>
  <c r="A125" i="65"/>
  <c r="A136" i="65"/>
  <c r="A168" i="65"/>
  <c r="A276" i="65"/>
  <c r="A280" i="65"/>
  <c r="C356" i="65"/>
  <c r="A356" i="65"/>
  <c r="C372" i="65"/>
  <c r="A372" i="65"/>
  <c r="C388" i="65"/>
  <c r="A388" i="65"/>
  <c r="C404" i="65"/>
  <c r="A404" i="65"/>
  <c r="C420" i="65"/>
  <c r="A420" i="65"/>
  <c r="C436" i="65"/>
  <c r="A436" i="65"/>
  <c r="A29" i="65"/>
  <c r="A61" i="65"/>
  <c r="A18" i="65"/>
  <c r="A34" i="65"/>
  <c r="A50" i="65"/>
  <c r="A52" i="65"/>
  <c r="A66" i="65"/>
  <c r="A67" i="65"/>
  <c r="A68" i="65"/>
  <c r="A73" i="65"/>
  <c r="A82" i="65"/>
  <c r="A83" i="65"/>
  <c r="A84" i="65"/>
  <c r="A89" i="65"/>
  <c r="A98" i="65"/>
  <c r="A99" i="65"/>
  <c r="A100" i="65"/>
  <c r="A105" i="65"/>
  <c r="A114" i="65"/>
  <c r="A115" i="65"/>
  <c r="A116" i="65"/>
  <c r="A121" i="65"/>
  <c r="A130" i="65"/>
  <c r="A132" i="65"/>
  <c r="A133" i="65"/>
  <c r="A134" i="65"/>
  <c r="A146" i="65"/>
  <c r="A164" i="65"/>
  <c r="A165" i="65"/>
  <c r="A166" i="65"/>
  <c r="A178" i="65"/>
  <c r="A277" i="65"/>
  <c r="A278" i="65"/>
  <c r="A282" i="65"/>
  <c r="A283" i="65"/>
  <c r="A292" i="65"/>
  <c r="A293" i="65"/>
  <c r="A294" i="65"/>
  <c r="A315" i="65"/>
  <c r="A339" i="65"/>
  <c r="A340" i="65"/>
  <c r="C371" i="65"/>
  <c r="A371" i="65"/>
  <c r="C387" i="65"/>
  <c r="A387" i="65"/>
  <c r="C403" i="65"/>
  <c r="A403" i="65"/>
  <c r="C419" i="65"/>
  <c r="A419" i="65"/>
  <c r="C435" i="65"/>
  <c r="A435" i="65"/>
  <c r="A13" i="65"/>
  <c r="A9" i="65"/>
  <c r="A19" i="65"/>
  <c r="A20" i="65"/>
  <c r="A35" i="65"/>
  <c r="A36" i="65"/>
  <c r="A41" i="65"/>
  <c r="A51" i="65"/>
  <c r="A57" i="65"/>
  <c r="A14" i="65"/>
  <c r="A15" i="65"/>
  <c r="A21" i="65"/>
  <c r="A30" i="65"/>
  <c r="A31" i="65"/>
  <c r="A37" i="65"/>
  <c r="A46" i="65"/>
  <c r="A47" i="65"/>
  <c r="A53" i="65"/>
  <c r="A62" i="65"/>
  <c r="A63" i="65"/>
  <c r="A69" i="65"/>
  <c r="A78" i="65"/>
  <c r="A79" i="65"/>
  <c r="A85" i="65"/>
  <c r="A94" i="65"/>
  <c r="A95" i="65"/>
  <c r="A101" i="65"/>
  <c r="A110" i="65"/>
  <c r="A111" i="65"/>
  <c r="A117" i="65"/>
  <c r="A126" i="65"/>
  <c r="A127" i="65"/>
  <c r="A138" i="65"/>
  <c r="A156" i="65"/>
  <c r="A159" i="65"/>
  <c r="A161" i="65"/>
  <c r="C162" i="65"/>
  <c r="A170" i="65"/>
  <c r="A285" i="65"/>
  <c r="A286" i="65"/>
  <c r="A291" i="65"/>
  <c r="A310" i="65"/>
  <c r="A314" i="65"/>
  <c r="A331" i="65"/>
  <c r="A332" i="65"/>
  <c r="A338" i="65"/>
  <c r="A345" i="65"/>
  <c r="A361" i="65"/>
  <c r="A377" i="65"/>
  <c r="A393" i="65"/>
  <c r="A409" i="65"/>
  <c r="A425" i="65"/>
  <c r="A439" i="65"/>
  <c r="A441" i="65"/>
  <c r="A443" i="65"/>
  <c r="A445" i="65"/>
  <c r="A447" i="65"/>
  <c r="A449" i="65"/>
  <c r="A451" i="65"/>
  <c r="A453" i="65"/>
  <c r="A455" i="65"/>
  <c r="A457" i="65"/>
  <c r="A459" i="65"/>
  <c r="A461" i="65"/>
  <c r="A463" i="65"/>
  <c r="A465" i="65"/>
  <c r="A467" i="65"/>
  <c r="A469" i="65"/>
  <c r="A471" i="65"/>
  <c r="A473" i="65"/>
  <c r="A475" i="65"/>
  <c r="A477" i="65"/>
  <c r="A479" i="65"/>
  <c r="A481" i="65"/>
  <c r="A483" i="65"/>
  <c r="A485" i="65"/>
  <c r="A487" i="65"/>
  <c r="A489" i="65"/>
  <c r="A491" i="65"/>
  <c r="A493" i="65"/>
  <c r="A495" i="65"/>
  <c r="A497" i="65"/>
  <c r="A499" i="65"/>
  <c r="A501" i="65"/>
  <c r="A503" i="65"/>
  <c r="A510" i="65"/>
  <c r="A511" i="65"/>
  <c r="A518" i="65"/>
  <c r="A519" i="65"/>
  <c r="A526" i="65"/>
  <c r="A527" i="65"/>
  <c r="A534" i="65"/>
  <c r="A540" i="65"/>
  <c r="A544" i="65"/>
  <c r="A548" i="65"/>
  <c r="A552" i="65"/>
  <c r="A556" i="65"/>
  <c r="A560" i="65"/>
  <c r="A564" i="65"/>
  <c r="A568" i="65"/>
  <c r="A572" i="65"/>
  <c r="A576" i="65"/>
  <c r="A580" i="65"/>
  <c r="A584" i="65"/>
  <c r="A588" i="65"/>
  <c r="A592" i="65"/>
  <c r="A596" i="65"/>
  <c r="A600" i="65"/>
  <c r="A604" i="65"/>
  <c r="A370" i="65"/>
  <c r="A386" i="65"/>
  <c r="A402" i="65"/>
  <c r="A418" i="65"/>
  <c r="A434" i="65"/>
  <c r="A508" i="65"/>
  <c r="A516" i="65"/>
  <c r="A524" i="65"/>
  <c r="A532" i="65"/>
  <c r="A290" i="65"/>
  <c r="A317" i="65"/>
  <c r="A318" i="65"/>
  <c r="A322" i="65"/>
  <c r="A334" i="65"/>
  <c r="A337" i="65"/>
  <c r="A350" i="65"/>
  <c r="A353" i="65"/>
  <c r="A366" i="65"/>
  <c r="A369" i="65"/>
  <c r="A382" i="65"/>
  <c r="A385" i="65"/>
  <c r="A398" i="65"/>
  <c r="A401" i="65"/>
  <c r="A414" i="65"/>
  <c r="A417" i="65"/>
  <c r="A430" i="65"/>
  <c r="A433" i="65"/>
  <c r="A507" i="65"/>
  <c r="A515" i="65"/>
  <c r="A523" i="65"/>
  <c r="A531" i="65"/>
  <c r="A538" i="65"/>
  <c r="A542" i="65"/>
  <c r="A546" i="65"/>
  <c r="A550" i="65"/>
  <c r="A554" i="65"/>
  <c r="A558" i="65"/>
  <c r="A562" i="65"/>
  <c r="A566" i="65"/>
  <c r="A570" i="65"/>
  <c r="A574" i="65"/>
  <c r="A578" i="65"/>
  <c r="A582" i="65"/>
  <c r="A586" i="65"/>
  <c r="A590" i="65"/>
  <c r="A594" i="65"/>
  <c r="A598" i="65"/>
  <c r="A602" i="65"/>
  <c r="A606" i="65"/>
  <c r="A533" i="65"/>
  <c r="A535" i="65"/>
  <c r="A537" i="65"/>
  <c r="A539" i="65"/>
  <c r="A541" i="65"/>
  <c r="A543" i="65"/>
  <c r="A545" i="65"/>
  <c r="A547" i="65"/>
  <c r="A549" i="65"/>
  <c r="A551" i="65"/>
  <c r="A553" i="65"/>
  <c r="A555" i="65"/>
  <c r="A557" i="65"/>
  <c r="A559" i="65"/>
  <c r="A561" i="65"/>
  <c r="A563" i="65"/>
  <c r="A565" i="65"/>
  <c r="A567" i="65"/>
  <c r="A569" i="65"/>
  <c r="A571" i="65"/>
  <c r="A573" i="65"/>
  <c r="A575" i="65"/>
  <c r="A577" i="65"/>
  <c r="A579" i="65"/>
  <c r="A581" i="65"/>
  <c r="A583" i="65"/>
  <c r="A585" i="65"/>
  <c r="A587" i="65"/>
  <c r="A589" i="65"/>
  <c r="A591" i="65"/>
  <c r="A593" i="65"/>
  <c r="A595" i="65"/>
  <c r="A597" i="65"/>
  <c r="A599" i="65"/>
  <c r="A601" i="65"/>
  <c r="A603" i="65"/>
  <c r="A605" i="65"/>
  <c r="A607" i="65"/>
  <c r="C608" i="65"/>
  <c r="C295" i="65"/>
  <c r="A295" i="65"/>
  <c r="A25" i="65"/>
  <c r="A45" i="65"/>
  <c r="C9" i="65"/>
  <c r="C13" i="65"/>
  <c r="C17" i="65"/>
  <c r="C21" i="65"/>
  <c r="C29" i="65"/>
  <c r="C33" i="65"/>
  <c r="C37" i="65"/>
  <c r="C41" i="65"/>
  <c r="C49" i="65"/>
  <c r="C53" i="65"/>
  <c r="C57" i="65"/>
  <c r="C61" i="65"/>
  <c r="C65" i="65"/>
  <c r="C69" i="65"/>
  <c r="C73" i="65"/>
  <c r="C77" i="65"/>
  <c r="C81" i="65"/>
  <c r="C85" i="65"/>
  <c r="C89" i="65"/>
  <c r="C93" i="65"/>
  <c r="C97" i="65"/>
  <c r="C101" i="65"/>
  <c r="C105" i="65"/>
  <c r="C109" i="65"/>
  <c r="C113" i="65"/>
  <c r="C117" i="65"/>
  <c r="C121" i="65"/>
  <c r="C125" i="65"/>
  <c r="C129" i="65"/>
  <c r="A131" i="65"/>
  <c r="A139" i="65"/>
  <c r="A147" i="65"/>
  <c r="A155" i="65"/>
  <c r="A163" i="65"/>
  <c r="A171" i="65"/>
  <c r="A179" i="65"/>
  <c r="C287" i="65"/>
  <c r="A287" i="65"/>
  <c r="C319" i="65"/>
  <c r="A319" i="65"/>
  <c r="C271" i="65"/>
  <c r="A271" i="65"/>
  <c r="C303" i="65"/>
  <c r="A303" i="65"/>
  <c r="C327" i="65"/>
  <c r="A327" i="65"/>
  <c r="C279" i="65"/>
  <c r="A279" i="65"/>
  <c r="C311" i="65"/>
  <c r="A311" i="65"/>
  <c r="A273" i="65"/>
  <c r="A281" i="65"/>
  <c r="A289" i="65"/>
  <c r="A297" i="65"/>
  <c r="A305" i="65"/>
  <c r="A313" i="65"/>
  <c r="A321" i="65"/>
  <c r="A329" i="65"/>
  <c r="W18" i="56" l="1"/>
  <c r="S17" i="56"/>
  <c r="K17" i="56"/>
  <c r="J17" i="56"/>
  <c r="V18" i="56"/>
  <c r="T17" i="56"/>
  <c r="N17" i="56"/>
  <c r="H17" i="56"/>
  <c r="M17" i="56"/>
  <c r="G17" i="56"/>
  <c r="I36" i="68"/>
  <c r="M36" i="68"/>
  <c r="M35" i="68"/>
  <c r="R36" i="68"/>
  <c r="R35" i="68"/>
  <c r="I19" i="68" a="1"/>
  <c r="I19" i="68" s="1"/>
  <c r="L36" i="68"/>
  <c r="L35" i="68"/>
  <c r="Q36" i="68"/>
  <c r="Q35" i="68"/>
  <c r="J10" i="68" a="1"/>
  <c r="J13" i="68" s="1"/>
  <c r="K36" i="68"/>
  <c r="K35" i="68"/>
  <c r="P36" i="68"/>
  <c r="P35" i="68"/>
  <c r="I10" i="68" a="1"/>
  <c r="I10" i="68" s="1"/>
  <c r="J36" i="68"/>
  <c r="J35" i="68"/>
  <c r="O36" i="68"/>
  <c r="O35" i="68"/>
  <c r="T36" i="68"/>
  <c r="T35" i="68"/>
  <c r="I35" i="68"/>
  <c r="N36" i="68"/>
  <c r="N35" i="68"/>
  <c r="S36" i="68"/>
  <c r="S35" i="68"/>
  <c r="J19" i="68" a="1"/>
  <c r="J22" i="68" s="1"/>
  <c r="P55" i="67"/>
  <c r="L55" i="67"/>
  <c r="H55" i="67"/>
  <c r="P54" i="67"/>
  <c r="L54" i="67"/>
  <c r="H54" i="67"/>
  <c r="P53" i="67"/>
  <c r="L53" i="67"/>
  <c r="H53" i="67"/>
  <c r="P52" i="67"/>
  <c r="L52" i="67"/>
  <c r="H52" i="67"/>
  <c r="P51" i="67"/>
  <c r="L51" i="67"/>
  <c r="H51" i="67"/>
  <c r="P50" i="67"/>
  <c r="L50" i="67"/>
  <c r="H50" i="67"/>
  <c r="P49" i="67"/>
  <c r="L49" i="67"/>
  <c r="H49" i="67"/>
  <c r="P48" i="67"/>
  <c r="L48" i="67"/>
  <c r="H48" i="67"/>
  <c r="O55" i="67"/>
  <c r="K55" i="67"/>
  <c r="G55" i="67"/>
  <c r="O54" i="67"/>
  <c r="K54" i="67"/>
  <c r="G54" i="67"/>
  <c r="O53" i="67"/>
  <c r="K53" i="67"/>
  <c r="G53" i="67"/>
  <c r="O52" i="67"/>
  <c r="K52" i="67"/>
  <c r="G52" i="67"/>
  <c r="O51" i="67"/>
  <c r="K51" i="67"/>
  <c r="G51" i="67"/>
  <c r="O50" i="67"/>
  <c r="K50" i="67"/>
  <c r="G50" i="67"/>
  <c r="O49" i="67"/>
  <c r="K49" i="67"/>
  <c r="G49" i="67"/>
  <c r="O48" i="67"/>
  <c r="K48" i="67"/>
  <c r="G48" i="67"/>
  <c r="A5" i="58"/>
  <c r="A4" i="58" s="1"/>
  <c r="M48" i="67"/>
  <c r="N55" i="67"/>
  <c r="J55" i="67"/>
  <c r="F55" i="67"/>
  <c r="N54" i="67"/>
  <c r="J54" i="67"/>
  <c r="F54" i="67"/>
  <c r="N53" i="67"/>
  <c r="J53" i="67"/>
  <c r="F53" i="67"/>
  <c r="N52" i="67"/>
  <c r="J52" i="67"/>
  <c r="F52" i="67"/>
  <c r="N51" i="67"/>
  <c r="J51" i="67"/>
  <c r="F51" i="67"/>
  <c r="N50" i="67"/>
  <c r="J50" i="67"/>
  <c r="F50" i="67"/>
  <c r="N49" i="67"/>
  <c r="J49" i="67"/>
  <c r="F49" i="67"/>
  <c r="N48" i="67"/>
  <c r="J48" i="67"/>
  <c r="F48" i="67"/>
  <c r="Q55" i="67"/>
  <c r="M55" i="67"/>
  <c r="I55" i="67"/>
  <c r="Q54" i="67"/>
  <c r="M54" i="67"/>
  <c r="I54" i="67"/>
  <c r="Q53" i="67"/>
  <c r="M53" i="67"/>
  <c r="I53" i="67"/>
  <c r="Q52" i="67"/>
  <c r="M52" i="67"/>
  <c r="I52" i="67"/>
  <c r="Q51" i="67"/>
  <c r="M51" i="67"/>
  <c r="I51" i="67"/>
  <c r="Q50" i="67"/>
  <c r="M50" i="67"/>
  <c r="I50" i="67"/>
  <c r="Q49" i="67"/>
  <c r="M49" i="67"/>
  <c r="I49" i="67"/>
  <c r="Q48" i="67"/>
  <c r="I48" i="67"/>
  <c r="A5" i="57"/>
  <c r="A4" i="57" s="1"/>
  <c r="A5" i="55"/>
  <c r="A4" i="55" s="1"/>
  <c r="P44" i="67"/>
  <c r="F45" i="67"/>
  <c r="L46" i="67"/>
  <c r="K46" i="67"/>
  <c r="J46" i="67"/>
  <c r="A3" i="56"/>
  <c r="A2" i="56" s="1"/>
  <c r="W15" i="56" s="1"/>
  <c r="B3" i="56"/>
  <c r="B2" i="56" s="1"/>
  <c r="C3" i="56"/>
  <c r="J47" i="67"/>
  <c r="G44" i="67"/>
  <c r="L45" i="67"/>
  <c r="F44" i="67"/>
  <c r="P46" i="67"/>
  <c r="K45" i="67"/>
  <c r="F47" i="67"/>
  <c r="O46" i="67"/>
  <c r="J45" i="67"/>
  <c r="F46" i="67"/>
  <c r="N46" i="67"/>
  <c r="I45" i="67"/>
  <c r="N47" i="67"/>
  <c r="G45" i="67"/>
  <c r="Q44" i="67"/>
  <c r="O47" i="67"/>
  <c r="K44" i="67"/>
  <c r="M46" i="67"/>
  <c r="I46" i="67"/>
  <c r="M47" i="67"/>
  <c r="H46" i="67"/>
  <c r="N44" i="67"/>
  <c r="L47" i="67"/>
  <c r="G46" i="67"/>
  <c r="M44" i="67"/>
  <c r="K47" i="67"/>
  <c r="Q45" i="67"/>
  <c r="L44" i="67"/>
  <c r="P45" i="67"/>
  <c r="Q47" i="67"/>
  <c r="P47" i="67"/>
  <c r="Q46" i="67"/>
  <c r="H45" i="67"/>
  <c r="O44" i="67"/>
  <c r="I47" i="67"/>
  <c r="O45" i="67"/>
  <c r="J44" i="67"/>
  <c r="H47" i="67"/>
  <c r="N45" i="67"/>
  <c r="I44" i="67"/>
  <c r="G47" i="67"/>
  <c r="M45" i="67"/>
  <c r="H44" i="67"/>
  <c r="F22" i="72"/>
  <c r="F21" i="72"/>
  <c r="F29" i="72"/>
  <c r="F32" i="72"/>
  <c r="F25" i="72"/>
  <c r="F24" i="72"/>
  <c r="F28" i="72"/>
  <c r="F23" i="72"/>
  <c r="F31" i="72"/>
  <c r="F26" i="72"/>
  <c r="F27" i="72"/>
  <c r="F30" i="72"/>
  <c r="J14" i="66"/>
  <c r="J80" i="66" s="1"/>
  <c r="F58" i="67"/>
  <c r="G12" i="66"/>
  <c r="G78" i="66" s="1"/>
  <c r="G13" i="66"/>
  <c r="G79" i="66" s="1"/>
  <c r="G15" i="66"/>
  <c r="P64" i="67"/>
  <c r="L64" i="67"/>
  <c r="H64" i="67"/>
  <c r="P59" i="67"/>
  <c r="L59" i="67"/>
  <c r="H59" i="67"/>
  <c r="P58" i="67"/>
  <c r="L58" i="67"/>
  <c r="H58" i="67"/>
  <c r="P57" i="67"/>
  <c r="L57" i="67"/>
  <c r="H57" i="67"/>
  <c r="P56" i="67"/>
  <c r="L56" i="67"/>
  <c r="H56" i="67"/>
  <c r="K64" i="67"/>
  <c r="G64" i="67"/>
  <c r="O59" i="67"/>
  <c r="G59" i="67"/>
  <c r="K58" i="67"/>
  <c r="K57" i="67"/>
  <c r="O56" i="67"/>
  <c r="G56" i="67"/>
  <c r="J64" i="67"/>
  <c r="J59" i="67"/>
  <c r="J58" i="67"/>
  <c r="J57" i="67"/>
  <c r="J56" i="67"/>
  <c r="O64" i="67"/>
  <c r="K59" i="67"/>
  <c r="O58" i="67"/>
  <c r="G58" i="67"/>
  <c r="O57" i="67"/>
  <c r="G57" i="67"/>
  <c r="K56" i="67"/>
  <c r="N59" i="67"/>
  <c r="N58" i="67"/>
  <c r="N57" i="67"/>
  <c r="N56" i="67"/>
  <c r="N64" i="67"/>
  <c r="F59" i="67"/>
  <c r="F57" i="67"/>
  <c r="F56" i="67"/>
  <c r="M57" i="67"/>
  <c r="I56" i="67"/>
  <c r="M58" i="67"/>
  <c r="I57" i="67"/>
  <c r="I59" i="67"/>
  <c r="M64" i="67"/>
  <c r="Q59" i="67"/>
  <c r="M56" i="67"/>
  <c r="I64" i="67"/>
  <c r="M59" i="67"/>
  <c r="I58" i="67"/>
  <c r="Q56" i="67"/>
  <c r="Q57" i="67"/>
  <c r="I15" i="66"/>
  <c r="H13" i="66"/>
  <c r="H79" i="66" s="1"/>
  <c r="H15" i="66"/>
  <c r="H11" i="66"/>
  <c r="H82" i="66" s="1"/>
  <c r="J15" i="66"/>
  <c r="J11" i="66"/>
  <c r="J82" i="66" s="1"/>
  <c r="I11" i="66"/>
  <c r="I82" i="66" s="1"/>
  <c r="I13" i="66"/>
  <c r="I79" i="66" s="1"/>
  <c r="J13" i="66"/>
  <c r="J79" i="66" s="1"/>
  <c r="I12" i="66"/>
  <c r="H14" i="66"/>
  <c r="H80" i="66" s="1"/>
  <c r="J12" i="66"/>
  <c r="I14" i="66"/>
  <c r="I80" i="66" s="1"/>
  <c r="H12" i="66"/>
  <c r="G11" i="66"/>
  <c r="G82" i="66" s="1"/>
  <c r="G14" i="66"/>
  <c r="G33" i="63" a="1"/>
  <c r="R33" i="63" s="1"/>
  <c r="W16" i="56" l="1"/>
  <c r="H16" i="56"/>
  <c r="K16" i="56"/>
  <c r="N16" i="56"/>
  <c r="T16" i="56"/>
  <c r="W13" i="56"/>
  <c r="S14" i="56"/>
  <c r="M14" i="56"/>
  <c r="J14" i="56"/>
  <c r="V13" i="56"/>
  <c r="V14" i="56"/>
  <c r="T13" i="56"/>
  <c r="N13" i="56"/>
  <c r="K13" i="56"/>
  <c r="H14" i="56"/>
  <c r="G14" i="56"/>
  <c r="G13" i="56"/>
  <c r="W14" i="56"/>
  <c r="T14" i="56"/>
  <c r="N14" i="56"/>
  <c r="K14" i="56"/>
  <c r="B4" i="56"/>
  <c r="F14" i="56" s="1"/>
  <c r="S13" i="56"/>
  <c r="M13" i="56"/>
  <c r="J13" i="56"/>
  <c r="H13" i="56"/>
  <c r="V15" i="56"/>
  <c r="V16" i="56"/>
  <c r="G16" i="56"/>
  <c r="S16" i="56"/>
  <c r="M16" i="56"/>
  <c r="J16" i="56"/>
  <c r="A4" i="56"/>
  <c r="F15" i="56" s="1"/>
  <c r="M34" i="68"/>
  <c r="J11" i="68"/>
  <c r="J10" i="68"/>
  <c r="I34" i="68"/>
  <c r="N34" i="68"/>
  <c r="T34" i="68"/>
  <c r="Q34" i="68"/>
  <c r="K34" i="68"/>
  <c r="R34" i="68"/>
  <c r="I21" i="68"/>
  <c r="I23" i="68"/>
  <c r="P34" i="68"/>
  <c r="J15" i="68"/>
  <c r="O34" i="68"/>
  <c r="L34" i="68"/>
  <c r="S34" i="68"/>
  <c r="I24" i="68"/>
  <c r="O17" i="56"/>
  <c r="I20" i="68"/>
  <c r="J14" i="68"/>
  <c r="J12" i="68"/>
  <c r="I22" i="68"/>
  <c r="J20" i="68"/>
  <c r="I11" i="68"/>
  <c r="J23" i="68"/>
  <c r="I13" i="68"/>
  <c r="J19" i="68"/>
  <c r="J24" i="68"/>
  <c r="I12" i="68"/>
  <c r="I15" i="68"/>
  <c r="L17" i="56"/>
  <c r="J21" i="68"/>
  <c r="I14" i="68"/>
  <c r="J34" i="68"/>
  <c r="U17" i="56"/>
  <c r="J34" i="56"/>
  <c r="I28" i="68"/>
  <c r="I29" i="68" s="1"/>
  <c r="F31" i="58"/>
  <c r="F31" i="57"/>
  <c r="C2" i="56"/>
  <c r="C4" i="56" s="1"/>
  <c r="J27" i="56"/>
  <c r="J30" i="56"/>
  <c r="J29" i="56"/>
  <c r="J31" i="56"/>
  <c r="J28" i="56"/>
  <c r="A3" i="67"/>
  <c r="A2" i="67" s="1"/>
  <c r="A4" i="67" s="1"/>
  <c r="E8" i="67" s="1"/>
  <c r="B3" i="67"/>
  <c r="B2" i="67" s="1"/>
  <c r="C3" i="67"/>
  <c r="C2" i="67" s="1"/>
  <c r="Q58" i="67"/>
  <c r="J78" i="66"/>
  <c r="J10" i="66"/>
  <c r="J81" i="66" s="1"/>
  <c r="H17" i="66"/>
  <c r="H78" i="66"/>
  <c r="H10" i="66"/>
  <c r="H81" i="66" s="1"/>
  <c r="I10" i="66"/>
  <c r="I81" i="66" s="1"/>
  <c r="I17" i="66"/>
  <c r="I78" i="66"/>
  <c r="G80" i="66"/>
  <c r="G17" i="66"/>
  <c r="G10" i="66"/>
  <c r="G81" i="66" s="1"/>
  <c r="I33" i="63"/>
  <c r="O33" i="63"/>
  <c r="M33" i="63"/>
  <c r="Q33" i="63"/>
  <c r="G33" i="63"/>
  <c r="K33" i="63"/>
  <c r="H33" i="63"/>
  <c r="L33" i="63"/>
  <c r="P33" i="63"/>
  <c r="J33" i="63"/>
  <c r="N33" i="63"/>
  <c r="O21" i="63"/>
  <c r="O6" i="63"/>
  <c r="A1" i="63"/>
  <c r="K19" i="68" l="1" a="1"/>
  <c r="K19" i="68" s="1"/>
  <c r="J28" i="68"/>
  <c r="J30" i="68" s="1"/>
  <c r="L19" i="68" a="1"/>
  <c r="L23" i="68" s="1"/>
  <c r="M19" i="68" a="1"/>
  <c r="M24" i="68" s="1"/>
  <c r="K10" i="68" a="1"/>
  <c r="K12" i="68" s="1"/>
  <c r="N10" i="68" a="1"/>
  <c r="N11" i="68" s="1"/>
  <c r="N19" i="68" a="1"/>
  <c r="N22" i="68" s="1"/>
  <c r="L10" i="68" a="1"/>
  <c r="L10" i="68" s="1"/>
  <c r="M10" i="68" a="1"/>
  <c r="M13" i="68" s="1"/>
  <c r="X13" i="56"/>
  <c r="X16" i="56"/>
  <c r="L14" i="56"/>
  <c r="O16" i="56"/>
  <c r="L13" i="56"/>
  <c r="U14" i="56"/>
  <c r="O14" i="56"/>
  <c r="O13" i="56"/>
  <c r="U16" i="56"/>
  <c r="U13" i="56"/>
  <c r="X14" i="56"/>
  <c r="L16" i="56"/>
  <c r="I30" i="68"/>
  <c r="Q63" i="67"/>
  <c r="M63" i="67"/>
  <c r="I63" i="67"/>
  <c r="O63" i="67"/>
  <c r="K63" i="67"/>
  <c r="G63" i="67"/>
  <c r="P63" i="67"/>
  <c r="L63" i="67"/>
  <c r="H63" i="67"/>
  <c r="N63" i="67"/>
  <c r="J63" i="67"/>
  <c r="F63" i="67"/>
  <c r="Q62" i="67"/>
  <c r="M62" i="67"/>
  <c r="I62" i="67"/>
  <c r="O62" i="67"/>
  <c r="K62" i="67"/>
  <c r="G62" i="67"/>
  <c r="P62" i="67"/>
  <c r="L62" i="67"/>
  <c r="H62" i="67"/>
  <c r="N62" i="67"/>
  <c r="J62" i="67"/>
  <c r="F62" i="67"/>
  <c r="F16" i="56"/>
  <c r="E25" i="56" s="1"/>
  <c r="E8" i="61" s="1"/>
  <c r="O61" i="67"/>
  <c r="J61" i="67"/>
  <c r="M61" i="67"/>
  <c r="P61" i="67"/>
  <c r="K61" i="67"/>
  <c r="I61" i="67"/>
  <c r="L61" i="67"/>
  <c r="G61" i="67"/>
  <c r="Q61" i="67"/>
  <c r="H61" i="67"/>
  <c r="N61" i="67"/>
  <c r="B4" i="67"/>
  <c r="I13" i="56"/>
  <c r="C4" i="67"/>
  <c r="Q64" i="67"/>
  <c r="F64" i="67"/>
  <c r="J83" i="66"/>
  <c r="G83" i="66"/>
  <c r="I83" i="66"/>
  <c r="H83" i="66"/>
  <c r="D27" i="63"/>
  <c r="D31" i="63"/>
  <c r="D29" i="63"/>
  <c r="D28" i="63"/>
  <c r="D30" i="63"/>
  <c r="D33" i="63"/>
  <c r="W23" i="62" a="1"/>
  <c r="W33" i="62" s="1"/>
  <c r="A1" i="62"/>
  <c r="J29" i="68" l="1"/>
  <c r="K24" i="68"/>
  <c r="K23" i="68"/>
  <c r="K20" i="68"/>
  <c r="K22" i="68"/>
  <c r="K10" i="68"/>
  <c r="K28" i="68" s="1"/>
  <c r="K21" i="68"/>
  <c r="K13" i="68"/>
  <c r="L19" i="68"/>
  <c r="L28" i="68" s="1"/>
  <c r="K11" i="68"/>
  <c r="L22" i="68"/>
  <c r="L24" i="68"/>
  <c r="L20" i="68"/>
  <c r="K14" i="68"/>
  <c r="K15" i="68"/>
  <c r="M23" i="68"/>
  <c r="M20" i="68"/>
  <c r="M21" i="68"/>
  <c r="M19" i="68"/>
  <c r="M22" i="68"/>
  <c r="L21" i="68"/>
  <c r="N12" i="68"/>
  <c r="N13" i="68"/>
  <c r="N15" i="68"/>
  <c r="N14" i="68"/>
  <c r="N10" i="68"/>
  <c r="N21" i="68"/>
  <c r="M11" i="68"/>
  <c r="N23" i="68"/>
  <c r="N19" i="68"/>
  <c r="M10" i="68"/>
  <c r="N20" i="68"/>
  <c r="M14" i="68"/>
  <c r="N24" i="68"/>
  <c r="L13" i="68"/>
  <c r="M12" i="68"/>
  <c r="L14" i="68"/>
  <c r="L12" i="68"/>
  <c r="M15" i="68"/>
  <c r="L11" i="68"/>
  <c r="L15" i="68"/>
  <c r="W26" i="62"/>
  <c r="W30" i="62"/>
  <c r="W34" i="62"/>
  <c r="W23" i="62"/>
  <c r="W27" i="62"/>
  <c r="W31" i="62"/>
  <c r="W24" i="62"/>
  <c r="W28" i="62"/>
  <c r="W32" i="62"/>
  <c r="W25" i="62"/>
  <c r="W29" i="62"/>
  <c r="A1" i="1"/>
  <c r="A1" i="55"/>
  <c r="F31" i="59"/>
  <c r="F30" i="59"/>
  <c r="F18" i="59"/>
  <c r="F19" i="59"/>
  <c r="F20" i="59"/>
  <c r="F21" i="59"/>
  <c r="F22" i="59"/>
  <c r="F23" i="59"/>
  <c r="F24" i="59"/>
  <c r="F25" i="59"/>
  <c r="F26" i="59"/>
  <c r="F27" i="59"/>
  <c r="F17" i="59"/>
  <c r="AA8" i="56"/>
  <c r="N28" i="68" l="1"/>
  <c r="M28" i="68"/>
  <c r="E20" i="68" a="1"/>
  <c r="E21" i="68" s="1"/>
  <c r="D34" i="55"/>
  <c r="D29" i="55"/>
  <c r="D31" i="55"/>
  <c r="D35" i="55"/>
  <c r="D33" i="55"/>
  <c r="D30" i="55"/>
  <c r="D32" i="55"/>
  <c r="E11" i="68" a="1"/>
  <c r="E14" i="68" s="1"/>
  <c r="J17" i="1"/>
  <c r="K17" i="1"/>
  <c r="D17" i="1"/>
  <c r="J17" i="66"/>
  <c r="E8" i="55"/>
  <c r="E28" i="55"/>
  <c r="A1" i="61"/>
  <c r="A1" i="60"/>
  <c r="E23" i="68" l="1"/>
  <c r="E22" i="68"/>
  <c r="E20" i="68"/>
  <c r="E24" i="68"/>
  <c r="E12" i="68"/>
  <c r="E13" i="68"/>
  <c r="E15" i="68"/>
  <c r="E11" i="68"/>
  <c r="A1" i="59"/>
  <c r="I49" i="1"/>
  <c r="D29" i="59" l="1"/>
  <c r="D35" i="59"/>
  <c r="D32" i="59"/>
  <c r="D33" i="59"/>
  <c r="D31" i="59"/>
  <c r="D34" i="59"/>
  <c r="D30" i="59"/>
  <c r="G32" i="58" a="1"/>
  <c r="G32" i="57" a="1"/>
  <c r="S6" i="63"/>
  <c r="E8" i="63"/>
  <c r="S28" i="59"/>
  <c r="G9" i="58"/>
  <c r="S28" i="58"/>
  <c r="S6" i="57"/>
  <c r="G9" i="57"/>
  <c r="S6" i="59"/>
  <c r="S28" i="57"/>
  <c r="G9" i="59"/>
  <c r="S6" i="58"/>
  <c r="S6" i="55"/>
  <c r="S28" i="55"/>
  <c r="G9" i="55"/>
  <c r="A3" i="58" a="1"/>
  <c r="A3" i="58" s="1"/>
  <c r="A2" i="58" s="1"/>
  <c r="A3" i="61" a="1"/>
  <c r="A3" i="61" s="1"/>
  <c r="A2" i="61" s="1"/>
  <c r="F10" i="61" s="1"/>
  <c r="B3" i="55" a="1"/>
  <c r="B3" i="55" s="1"/>
  <c r="A3" i="55" a="1"/>
  <c r="A3" i="55" s="1"/>
  <c r="A3" i="57" a="1"/>
  <c r="A3" i="57" s="1"/>
  <c r="E28" i="58"/>
  <c r="E8" i="57"/>
  <c r="E8" i="59"/>
  <c r="E8" i="58"/>
  <c r="G32" i="59" a="1"/>
  <c r="S16" i="59" a="1"/>
  <c r="S23" i="59" s="1"/>
  <c r="G30" i="59" a="1"/>
  <c r="Q16" i="59" a="1"/>
  <c r="P16" i="59" a="1"/>
  <c r="R16" i="59" a="1"/>
  <c r="O16" i="59" a="1"/>
  <c r="N16" i="59" a="1"/>
  <c r="M16" i="59" a="1"/>
  <c r="I16" i="59" a="1"/>
  <c r="I25" i="59" s="1"/>
  <c r="L16" i="59" a="1"/>
  <c r="K16" i="59" a="1"/>
  <c r="J16" i="59" a="1"/>
  <c r="G16" i="59" a="1"/>
  <c r="G22" i="59" s="1"/>
  <c r="H16" i="59" a="1"/>
  <c r="U6" i="59"/>
  <c r="U6" i="57"/>
  <c r="E23" i="66" s="1"/>
  <c r="E30" i="55"/>
  <c r="E30" i="59"/>
  <c r="E30" i="58"/>
  <c r="E30" i="57"/>
  <c r="E28" i="59"/>
  <c r="U6" i="58"/>
  <c r="O8" i="66" s="1"/>
  <c r="E28" i="57"/>
  <c r="G10" i="59" l="1"/>
  <c r="O20" i="63"/>
  <c r="E20" i="63"/>
  <c r="E23" i="67"/>
  <c r="O8" i="63"/>
  <c r="O8" i="67"/>
  <c r="G32" i="58"/>
  <c r="Q32" i="58"/>
  <c r="H32" i="58"/>
  <c r="J32" i="58"/>
  <c r="L32" i="58"/>
  <c r="N32" i="58"/>
  <c r="P32" i="58"/>
  <c r="R32" i="58"/>
  <c r="I32" i="58"/>
  <c r="K32" i="58"/>
  <c r="M32" i="58"/>
  <c r="O32" i="58"/>
  <c r="A2" i="57"/>
  <c r="G10" i="57" s="1"/>
  <c r="L16" i="58" a="1"/>
  <c r="L23" i="58" s="1"/>
  <c r="S16" i="58" a="1"/>
  <c r="S19" i="58" s="1"/>
  <c r="A2" i="55"/>
  <c r="G32" i="55" s="1" a="1"/>
  <c r="F31" i="55"/>
  <c r="G10" i="58"/>
  <c r="I16" i="58" a="1"/>
  <c r="I23" i="58" s="1"/>
  <c r="Q16" i="58" a="1"/>
  <c r="Q26" i="58" s="1"/>
  <c r="M16" i="58" a="1"/>
  <c r="M25" i="58" s="1"/>
  <c r="H16" i="58" a="1"/>
  <c r="H22" i="58" s="1"/>
  <c r="P16" i="58" a="1"/>
  <c r="P27" i="58" s="1"/>
  <c r="G30" i="57" a="1"/>
  <c r="G16" i="58" a="1"/>
  <c r="G26" i="58" s="1"/>
  <c r="K16" i="58" a="1"/>
  <c r="K22" i="58" s="1"/>
  <c r="O16" i="58" a="1"/>
  <c r="O26" i="58" s="1"/>
  <c r="G30" i="58" a="1"/>
  <c r="L30" i="58" s="1"/>
  <c r="J16" i="58" a="1"/>
  <c r="J27" i="58" s="1"/>
  <c r="N16" i="58" a="1"/>
  <c r="N25" i="58" s="1"/>
  <c r="R16" i="58" a="1"/>
  <c r="R19" i="58" s="1"/>
  <c r="F16" i="58"/>
  <c r="F61" i="67"/>
  <c r="E35" i="63"/>
  <c r="E37" i="63"/>
  <c r="E36" i="63"/>
  <c r="I17" i="59"/>
  <c r="I27" i="59"/>
  <c r="G32" i="59"/>
  <c r="M32" i="59"/>
  <c r="Q32" i="59"/>
  <c r="N32" i="59"/>
  <c r="R32" i="59"/>
  <c r="K32" i="59"/>
  <c r="O32" i="59"/>
  <c r="L32" i="59"/>
  <c r="P32" i="59"/>
  <c r="I24" i="59"/>
  <c r="I26" i="59"/>
  <c r="G20" i="59"/>
  <c r="I22" i="59"/>
  <c r="G26" i="59"/>
  <c r="I16" i="59"/>
  <c r="I18" i="59"/>
  <c r="S26" i="59"/>
  <c r="G21" i="59"/>
  <c r="G16" i="59"/>
  <c r="I23" i="59"/>
  <c r="I21" i="59"/>
  <c r="S24" i="59"/>
  <c r="G25" i="59"/>
  <c r="G19" i="59"/>
  <c r="S21" i="59"/>
  <c r="S22" i="59"/>
  <c r="G24" i="59"/>
  <c r="G23" i="59"/>
  <c r="G18" i="59"/>
  <c r="I20" i="59"/>
  <c r="I19" i="59"/>
  <c r="S18" i="59"/>
  <c r="S20" i="59"/>
  <c r="S27" i="59"/>
  <c r="G17" i="59"/>
  <c r="G27" i="59"/>
  <c r="S25" i="59"/>
  <c r="S16" i="59"/>
  <c r="I30" i="59"/>
  <c r="M30" i="59"/>
  <c r="Q30" i="59"/>
  <c r="N30" i="59"/>
  <c r="R30" i="59"/>
  <c r="G30" i="59"/>
  <c r="G37" i="63" s="1"/>
  <c r="K30" i="59"/>
  <c r="O30" i="59"/>
  <c r="L30" i="59"/>
  <c r="P30" i="59"/>
  <c r="R26" i="59"/>
  <c r="R22" i="59"/>
  <c r="R18" i="59"/>
  <c r="R25" i="59"/>
  <c r="R21" i="59"/>
  <c r="R24" i="59"/>
  <c r="R20" i="59"/>
  <c r="R16" i="59"/>
  <c r="R27" i="59"/>
  <c r="R23" i="59"/>
  <c r="R19" i="59"/>
  <c r="P25" i="59"/>
  <c r="P21" i="59"/>
  <c r="P17" i="59"/>
  <c r="P24" i="59"/>
  <c r="P20" i="59"/>
  <c r="P16" i="59"/>
  <c r="P27" i="59"/>
  <c r="P23" i="59"/>
  <c r="P19" i="59"/>
  <c r="P26" i="59"/>
  <c r="P22" i="59"/>
  <c r="P18" i="59"/>
  <c r="Q24" i="59"/>
  <c r="Q20" i="59"/>
  <c r="Q16" i="59"/>
  <c r="Q27" i="59"/>
  <c r="Q23" i="59"/>
  <c r="Q26" i="59"/>
  <c r="Q22" i="59"/>
  <c r="Q18" i="59"/>
  <c r="Q25" i="59"/>
  <c r="Q21" i="59"/>
  <c r="Q17" i="59"/>
  <c r="N27" i="59"/>
  <c r="N23" i="59"/>
  <c r="N19" i="59"/>
  <c r="N25" i="59"/>
  <c r="N21" i="59"/>
  <c r="N17" i="59"/>
  <c r="N24" i="59"/>
  <c r="N20" i="59"/>
  <c r="N16" i="59"/>
  <c r="N26" i="59"/>
  <c r="N22" i="59"/>
  <c r="N18" i="59"/>
  <c r="M26" i="59"/>
  <c r="M22" i="59"/>
  <c r="M18" i="59"/>
  <c r="M25" i="59"/>
  <c r="M21" i="59"/>
  <c r="M17" i="59"/>
  <c r="M24" i="59"/>
  <c r="M20" i="59"/>
  <c r="M16" i="59"/>
  <c r="M27" i="59"/>
  <c r="M23" i="59"/>
  <c r="M19" i="59"/>
  <c r="O27" i="59"/>
  <c r="O23" i="59"/>
  <c r="O19" i="59"/>
  <c r="O26" i="59"/>
  <c r="O22" i="59"/>
  <c r="O18" i="59"/>
  <c r="O24" i="59"/>
  <c r="O20" i="59"/>
  <c r="O16" i="59"/>
  <c r="O25" i="59"/>
  <c r="O21" i="59"/>
  <c r="O17" i="59"/>
  <c r="J27" i="59"/>
  <c r="J23" i="59"/>
  <c r="J19" i="59"/>
  <c r="J26" i="59"/>
  <c r="J22" i="59"/>
  <c r="J18" i="59"/>
  <c r="J25" i="59"/>
  <c r="J21" i="59"/>
  <c r="J17" i="59"/>
  <c r="J24" i="59"/>
  <c r="J20" i="59"/>
  <c r="J16" i="59"/>
  <c r="L27" i="59"/>
  <c r="L23" i="59"/>
  <c r="L19" i="59"/>
  <c r="L26" i="59"/>
  <c r="L22" i="59"/>
  <c r="L18" i="59"/>
  <c r="L25" i="59"/>
  <c r="L21" i="59"/>
  <c r="L17" i="59"/>
  <c r="L24" i="59"/>
  <c r="L20" i="59"/>
  <c r="L16" i="59"/>
  <c r="K27" i="59"/>
  <c r="K23" i="59"/>
  <c r="K19" i="59"/>
  <c r="K26" i="59"/>
  <c r="K22" i="59"/>
  <c r="K18" i="59"/>
  <c r="K25" i="59"/>
  <c r="K21" i="59"/>
  <c r="K17" i="59"/>
  <c r="K24" i="59"/>
  <c r="K20" i="59"/>
  <c r="K16" i="59"/>
  <c r="H17" i="59"/>
  <c r="H21" i="59"/>
  <c r="H25" i="59"/>
  <c r="H18" i="59"/>
  <c r="H22" i="59"/>
  <c r="H26" i="59"/>
  <c r="H19" i="59"/>
  <c r="H23" i="59"/>
  <c r="H27" i="59"/>
  <c r="H16" i="59"/>
  <c r="H20" i="59"/>
  <c r="H24" i="59"/>
  <c r="P37" i="63" l="1"/>
  <c r="Q37" i="63"/>
  <c r="R37" i="63"/>
  <c r="O37" i="63"/>
  <c r="N37" i="63"/>
  <c r="M37" i="63"/>
  <c r="L37" i="63"/>
  <c r="S16" i="58"/>
  <c r="U22" i="59"/>
  <c r="W21" i="59"/>
  <c r="U25" i="59"/>
  <c r="W19" i="59"/>
  <c r="W25" i="59"/>
  <c r="F16" i="55"/>
  <c r="G10" i="55" s="1"/>
  <c r="W26" i="59"/>
  <c r="X23" i="59"/>
  <c r="X24" i="59"/>
  <c r="S18" i="58"/>
  <c r="F16" i="57"/>
  <c r="S22" i="58"/>
  <c r="S23" i="58"/>
  <c r="S26" i="58"/>
  <c r="S20" i="58"/>
  <c r="S24" i="58"/>
  <c r="S25" i="58"/>
  <c r="S17" i="58"/>
  <c r="S27" i="58"/>
  <c r="S21" i="58"/>
  <c r="Q16" i="57" a="1"/>
  <c r="Q25" i="57" s="1"/>
  <c r="V24" i="59"/>
  <c r="V18" i="59"/>
  <c r="V23" i="59"/>
  <c r="W27" i="59"/>
  <c r="W17" i="59"/>
  <c r="W22" i="59"/>
  <c r="X20" i="59"/>
  <c r="X25" i="59"/>
  <c r="U27" i="59"/>
  <c r="U23" i="59"/>
  <c r="U19" i="59"/>
  <c r="U20" i="59"/>
  <c r="U17" i="59"/>
  <c r="U24" i="59"/>
  <c r="U16" i="59"/>
  <c r="V17" i="59"/>
  <c r="V22" i="59"/>
  <c r="V27" i="59"/>
  <c r="W16" i="59"/>
  <c r="X18" i="59"/>
  <c r="V16" i="59"/>
  <c r="V21" i="59"/>
  <c r="V26" i="59"/>
  <c r="W20" i="59"/>
  <c r="X22" i="59"/>
  <c r="X27" i="59"/>
  <c r="U21" i="59"/>
  <c r="U26" i="59"/>
  <c r="V20" i="59"/>
  <c r="V25" i="59"/>
  <c r="V19" i="59"/>
  <c r="W23" i="59"/>
  <c r="W24" i="59"/>
  <c r="W18" i="59"/>
  <c r="X26" i="59"/>
  <c r="X16" i="59"/>
  <c r="X21" i="59"/>
  <c r="U18" i="59"/>
  <c r="O16" i="57" a="1"/>
  <c r="O24" i="57" s="1"/>
  <c r="P16" i="57" a="1"/>
  <c r="P22" i="57" s="1"/>
  <c r="K37" i="63"/>
  <c r="I22" i="58"/>
  <c r="M16" i="57" a="1"/>
  <c r="M25" i="57" s="1"/>
  <c r="N16" i="57" a="1"/>
  <c r="N17" i="57" s="1"/>
  <c r="I37" i="63"/>
  <c r="L20" i="58"/>
  <c r="G16" i="57" a="1"/>
  <c r="G22" i="57" s="1"/>
  <c r="I16" i="57" a="1"/>
  <c r="I18" i="57" s="1"/>
  <c r="S16" i="57" a="1"/>
  <c r="S23" i="57" s="1"/>
  <c r="R16" i="57" a="1"/>
  <c r="R24" i="57" s="1"/>
  <c r="H16" i="57" a="1"/>
  <c r="H27" i="57" s="1"/>
  <c r="J16" i="57" a="1"/>
  <c r="J19" i="57" s="1"/>
  <c r="L16" i="57" a="1"/>
  <c r="L25" i="57" s="1"/>
  <c r="K16" i="57" a="1"/>
  <c r="K16" i="57" s="1"/>
  <c r="P16" i="55" a="1"/>
  <c r="P18" i="55" s="1"/>
  <c r="O16" i="55" a="1"/>
  <c r="O18" i="55" s="1"/>
  <c r="K16" i="55" a="1"/>
  <c r="K27" i="55" s="1"/>
  <c r="L16" i="55" a="1"/>
  <c r="L17" i="55" s="1"/>
  <c r="M16" i="55" a="1"/>
  <c r="M20" i="55" s="1"/>
  <c r="N16" i="55" a="1"/>
  <c r="N19" i="55" s="1"/>
  <c r="Q16" i="55" a="1"/>
  <c r="Q26" i="55" s="1"/>
  <c r="I16" i="55" a="1"/>
  <c r="I21" i="55" s="1"/>
  <c r="H16" i="55" a="1"/>
  <c r="H21" i="55" s="1"/>
  <c r="G16" i="55" a="1"/>
  <c r="G22" i="55" s="1"/>
  <c r="J16" i="55" a="1"/>
  <c r="J25" i="55" s="1"/>
  <c r="M30" i="57"/>
  <c r="L27" i="58"/>
  <c r="L18" i="58"/>
  <c r="L17" i="58"/>
  <c r="L22" i="58"/>
  <c r="L24" i="58"/>
  <c r="L21" i="58"/>
  <c r="L26" i="58"/>
  <c r="L19" i="58"/>
  <c r="L25" i="58"/>
  <c r="L16" i="58"/>
  <c r="G32" i="55"/>
  <c r="P32" i="55"/>
  <c r="J32" i="55"/>
  <c r="M32" i="55"/>
  <c r="N32" i="55"/>
  <c r="K32" i="55"/>
  <c r="R32" i="55"/>
  <c r="O32" i="55"/>
  <c r="H32" i="55"/>
  <c r="I32" i="55"/>
  <c r="L32" i="55"/>
  <c r="Q32" i="55"/>
  <c r="G32" i="57"/>
  <c r="I32" i="57"/>
  <c r="L32" i="57"/>
  <c r="M32" i="57"/>
  <c r="P32" i="57"/>
  <c r="Q32" i="57"/>
  <c r="J32" i="57"/>
  <c r="K32" i="57"/>
  <c r="N32" i="57"/>
  <c r="O32" i="57"/>
  <c r="R32" i="57"/>
  <c r="H32" i="57"/>
  <c r="Q20" i="58"/>
  <c r="I18" i="58"/>
  <c r="I27" i="58"/>
  <c r="Q19" i="58"/>
  <c r="Q16" i="58"/>
  <c r="I26" i="58"/>
  <c r="I16" i="58"/>
  <c r="I20" i="58"/>
  <c r="I25" i="58"/>
  <c r="I19" i="58"/>
  <c r="Q25" i="58"/>
  <c r="Q24" i="58"/>
  <c r="Q21" i="58"/>
  <c r="Q23" i="58"/>
  <c r="Q22" i="58"/>
  <c r="Q17" i="58"/>
  <c r="H21" i="58"/>
  <c r="Q18" i="58"/>
  <c r="Q27" i="58"/>
  <c r="I17" i="58"/>
  <c r="I21" i="58"/>
  <c r="I24" i="58"/>
  <c r="O24" i="58"/>
  <c r="P21" i="58"/>
  <c r="P26" i="58"/>
  <c r="H26" i="58"/>
  <c r="G18" i="58"/>
  <c r="G25" i="58"/>
  <c r="H16" i="58"/>
  <c r="M27" i="58"/>
  <c r="P16" i="58"/>
  <c r="P23" i="58"/>
  <c r="P24" i="58"/>
  <c r="P18" i="58"/>
  <c r="G30" i="57"/>
  <c r="G36" i="63" s="1"/>
  <c r="M19" i="58"/>
  <c r="M16" i="58"/>
  <c r="P25" i="58"/>
  <c r="P17" i="58"/>
  <c r="P19" i="58"/>
  <c r="N30" i="57"/>
  <c r="K25" i="58"/>
  <c r="P20" i="58"/>
  <c r="P22" i="58"/>
  <c r="Q30" i="58"/>
  <c r="I30" i="58"/>
  <c r="O30" i="58"/>
  <c r="H30" i="58"/>
  <c r="M20" i="58"/>
  <c r="M21" i="58"/>
  <c r="G30" i="58"/>
  <c r="G35" i="63" s="1"/>
  <c r="M23" i="58"/>
  <c r="L30" i="57"/>
  <c r="J30" i="57"/>
  <c r="K30" i="57"/>
  <c r="O30" i="57"/>
  <c r="Q30" i="57"/>
  <c r="H30" i="57"/>
  <c r="R30" i="57"/>
  <c r="M22" i="58"/>
  <c r="P30" i="57"/>
  <c r="I30" i="57"/>
  <c r="M26" i="58"/>
  <c r="M18" i="58"/>
  <c r="M24" i="58"/>
  <c r="M17" i="58"/>
  <c r="H19" i="58"/>
  <c r="H20" i="58"/>
  <c r="H25" i="58"/>
  <c r="J18" i="58"/>
  <c r="G21" i="58"/>
  <c r="H23" i="58"/>
  <c r="H24" i="58"/>
  <c r="H18" i="58"/>
  <c r="J20" i="58"/>
  <c r="G17" i="58"/>
  <c r="G16" i="58"/>
  <c r="G20" i="58"/>
  <c r="H27" i="58"/>
  <c r="H17" i="58"/>
  <c r="J25" i="58"/>
  <c r="G23" i="58"/>
  <c r="G27" i="58"/>
  <c r="O20" i="58"/>
  <c r="O16" i="58"/>
  <c r="K24" i="58"/>
  <c r="R18" i="58"/>
  <c r="R17" i="58"/>
  <c r="R27" i="58"/>
  <c r="R26" i="58"/>
  <c r="R21" i="58"/>
  <c r="O22" i="58"/>
  <c r="O18" i="58"/>
  <c r="O23" i="58"/>
  <c r="O19" i="58"/>
  <c r="N26" i="58"/>
  <c r="R20" i="58"/>
  <c r="R23" i="58"/>
  <c r="K19" i="58"/>
  <c r="O27" i="58"/>
  <c r="O21" i="58"/>
  <c r="O25" i="58"/>
  <c r="N16" i="58"/>
  <c r="R16" i="58"/>
  <c r="R25" i="58"/>
  <c r="O17" i="58"/>
  <c r="K26" i="58"/>
  <c r="J22" i="58"/>
  <c r="J24" i="58"/>
  <c r="J19" i="58"/>
  <c r="J26" i="58"/>
  <c r="J17" i="58"/>
  <c r="J23" i="58"/>
  <c r="J16" i="58"/>
  <c r="J21" i="58"/>
  <c r="R22" i="58"/>
  <c r="R24" i="58"/>
  <c r="G24" i="58"/>
  <c r="G22" i="58"/>
  <c r="G19" i="58"/>
  <c r="N21" i="58"/>
  <c r="K21" i="58"/>
  <c r="K16" i="58"/>
  <c r="K18" i="58"/>
  <c r="K27" i="58"/>
  <c r="K17" i="58"/>
  <c r="K30" i="58"/>
  <c r="N23" i="58"/>
  <c r="N24" i="58"/>
  <c r="N18" i="58"/>
  <c r="N27" i="58"/>
  <c r="N17" i="58"/>
  <c r="N22" i="58"/>
  <c r="N19" i="58"/>
  <c r="N20" i="58"/>
  <c r="K20" i="58"/>
  <c r="K23" i="58"/>
  <c r="M30" i="58"/>
  <c r="P30" i="58"/>
  <c r="N30" i="58"/>
  <c r="R30" i="58"/>
  <c r="J30" i="58"/>
  <c r="Q19" i="59"/>
  <c r="X19" i="59" s="1"/>
  <c r="R17" i="59"/>
  <c r="X17" i="59" s="1"/>
  <c r="R16" i="55" a="1"/>
  <c r="AA16" i="59"/>
  <c r="A1" i="56"/>
  <c r="S6" i="56" s="1"/>
  <c r="R36" i="63" l="1"/>
  <c r="P35" i="63"/>
  <c r="P36" i="63"/>
  <c r="R35" i="63"/>
  <c r="Q36" i="63"/>
  <c r="Q35" i="63"/>
  <c r="O36" i="63"/>
  <c r="O35" i="63"/>
  <c r="N35" i="63"/>
  <c r="N36" i="63"/>
  <c r="M35" i="63"/>
  <c r="M36" i="63"/>
  <c r="F22" i="55"/>
  <c r="O19" i="57"/>
  <c r="Q22" i="57"/>
  <c r="F30" i="55"/>
  <c r="F20" i="55"/>
  <c r="L36" i="63"/>
  <c r="L35" i="63"/>
  <c r="M26" i="55"/>
  <c r="H26" i="55"/>
  <c r="F24" i="55"/>
  <c r="F23" i="55"/>
  <c r="N24" i="55"/>
  <c r="F21" i="55"/>
  <c r="F18" i="55"/>
  <c r="F17" i="55"/>
  <c r="E9" i="63"/>
  <c r="F19" i="55"/>
  <c r="F25" i="55"/>
  <c r="O21" i="57"/>
  <c r="O22" i="57"/>
  <c r="O27" i="57"/>
  <c r="Q17" i="57"/>
  <c r="Q23" i="57"/>
  <c r="O18" i="57"/>
  <c r="O23" i="57"/>
  <c r="P18" i="57"/>
  <c r="Q18" i="57"/>
  <c r="Q21" i="57"/>
  <c r="Q20" i="57"/>
  <c r="P19" i="57"/>
  <c r="Q27" i="57"/>
  <c r="Q24" i="57"/>
  <c r="Q16" i="57"/>
  <c r="Q26" i="57"/>
  <c r="P20" i="57"/>
  <c r="Q19" i="57"/>
  <c r="P21" i="57"/>
  <c r="N16" i="57"/>
  <c r="M27" i="57"/>
  <c r="M19" i="57"/>
  <c r="M21" i="57"/>
  <c r="O25" i="57"/>
  <c r="O26" i="57"/>
  <c r="O16" i="57"/>
  <c r="M24" i="57"/>
  <c r="O20" i="57"/>
  <c r="O17" i="57"/>
  <c r="M23" i="57"/>
  <c r="P16" i="57"/>
  <c r="P17" i="57"/>
  <c r="P25" i="57"/>
  <c r="P26" i="57"/>
  <c r="P27" i="57"/>
  <c r="P23" i="57"/>
  <c r="P24" i="57"/>
  <c r="L22" i="57"/>
  <c r="L20" i="57"/>
  <c r="S20" i="57"/>
  <c r="S21" i="57"/>
  <c r="L17" i="57"/>
  <c r="L23" i="57"/>
  <c r="S19" i="57"/>
  <c r="S25" i="57"/>
  <c r="S27" i="57"/>
  <c r="L16" i="57"/>
  <c r="S22" i="57"/>
  <c r="S18" i="57"/>
  <c r="S16" i="57"/>
  <c r="S26" i="57"/>
  <c r="L24" i="57"/>
  <c r="L21" i="57"/>
  <c r="S17" i="57"/>
  <c r="S24" i="57"/>
  <c r="T24" i="57" s="1"/>
  <c r="L27" i="57"/>
  <c r="K23" i="57"/>
  <c r="G21" i="57"/>
  <c r="G18" i="57"/>
  <c r="M26" i="57"/>
  <c r="H22" i="57"/>
  <c r="M20" i="57"/>
  <c r="M22" i="57"/>
  <c r="I24" i="57"/>
  <c r="N26" i="57"/>
  <c r="L19" i="57"/>
  <c r="L26" i="57"/>
  <c r="L18" i="57"/>
  <c r="N27" i="57"/>
  <c r="N19" i="57"/>
  <c r="N25" i="57"/>
  <c r="N23" i="57"/>
  <c r="N20" i="57"/>
  <c r="I20" i="57"/>
  <c r="I16" i="57"/>
  <c r="I27" i="57"/>
  <c r="I25" i="57"/>
  <c r="N21" i="57"/>
  <c r="N24" i="57"/>
  <c r="I21" i="57"/>
  <c r="I17" i="57"/>
  <c r="I23" i="57"/>
  <c r="L22" i="55"/>
  <c r="N22" i="57"/>
  <c r="N18" i="57"/>
  <c r="I19" i="57"/>
  <c r="I26" i="57"/>
  <c r="I22" i="57"/>
  <c r="R23" i="57"/>
  <c r="H16" i="57"/>
  <c r="M16" i="57"/>
  <c r="M18" i="57"/>
  <c r="R19" i="57"/>
  <c r="M17" i="57"/>
  <c r="K20" i="57"/>
  <c r="K27" i="57"/>
  <c r="R27" i="57"/>
  <c r="R25" i="57"/>
  <c r="R20" i="57"/>
  <c r="H18" i="57"/>
  <c r="H36" i="63"/>
  <c r="G17" i="57"/>
  <c r="G24" i="57"/>
  <c r="H23" i="57"/>
  <c r="H26" i="57"/>
  <c r="G26" i="57"/>
  <c r="G19" i="57"/>
  <c r="H19" i="57"/>
  <c r="G20" i="57"/>
  <c r="G16" i="57"/>
  <c r="G25" i="57"/>
  <c r="G27" i="57"/>
  <c r="H24" i="57"/>
  <c r="H17" i="57"/>
  <c r="H21" i="57"/>
  <c r="G23" i="57"/>
  <c r="H25" i="57"/>
  <c r="H20" i="57"/>
  <c r="J35" i="63"/>
  <c r="K35" i="63"/>
  <c r="J26" i="57"/>
  <c r="J27" i="57"/>
  <c r="J24" i="57"/>
  <c r="J20" i="57"/>
  <c r="J16" i="57"/>
  <c r="J17" i="57"/>
  <c r="J18" i="57"/>
  <c r="J21" i="57"/>
  <c r="J22" i="57"/>
  <c r="J23" i="57"/>
  <c r="J25" i="57"/>
  <c r="R22" i="57"/>
  <c r="R18" i="57"/>
  <c r="K26" i="57"/>
  <c r="K22" i="57"/>
  <c r="K18" i="57"/>
  <c r="K19" i="57"/>
  <c r="R26" i="57"/>
  <c r="R17" i="57"/>
  <c r="K21" i="57"/>
  <c r="K17" i="57"/>
  <c r="K24" i="57"/>
  <c r="R16" i="57"/>
  <c r="R21" i="57"/>
  <c r="K25" i="57"/>
  <c r="H35" i="63"/>
  <c r="K36" i="63"/>
  <c r="J36" i="63"/>
  <c r="I36" i="63"/>
  <c r="I35" i="63"/>
  <c r="Q24" i="55"/>
  <c r="K16" i="55"/>
  <c r="K17" i="55"/>
  <c r="K23" i="55"/>
  <c r="Q23" i="55"/>
  <c r="Q17" i="55"/>
  <c r="K24" i="55"/>
  <c r="K20" i="55"/>
  <c r="K21" i="55"/>
  <c r="M25" i="55"/>
  <c r="P22" i="55"/>
  <c r="P23" i="55"/>
  <c r="P19" i="55"/>
  <c r="H23" i="55"/>
  <c r="G24" i="55"/>
  <c r="M18" i="55"/>
  <c r="M16" i="55"/>
  <c r="P24" i="55"/>
  <c r="P25" i="55"/>
  <c r="M19" i="55"/>
  <c r="M23" i="55"/>
  <c r="M17" i="55"/>
  <c r="P26" i="55"/>
  <c r="P16" i="55"/>
  <c r="P27" i="55"/>
  <c r="M27" i="55"/>
  <c r="H27" i="55"/>
  <c r="H18" i="55"/>
  <c r="P21" i="55"/>
  <c r="P17" i="55"/>
  <c r="P20" i="55"/>
  <c r="H24" i="55"/>
  <c r="I17" i="55"/>
  <c r="M21" i="55"/>
  <c r="M24" i="55"/>
  <c r="H20" i="55"/>
  <c r="H17" i="55"/>
  <c r="M22" i="55"/>
  <c r="H16" i="55"/>
  <c r="H25" i="55"/>
  <c r="H19" i="55"/>
  <c r="H22" i="55"/>
  <c r="O16" i="55"/>
  <c r="N22" i="55"/>
  <c r="Q20" i="55"/>
  <c r="Q19" i="55"/>
  <c r="J24" i="55"/>
  <c r="Q22" i="55"/>
  <c r="Q27" i="55"/>
  <c r="Q21" i="55"/>
  <c r="Q25" i="55"/>
  <c r="K26" i="55"/>
  <c r="K22" i="55"/>
  <c r="J26" i="55"/>
  <c r="J23" i="55"/>
  <c r="J21" i="55"/>
  <c r="J27" i="55"/>
  <c r="J18" i="55"/>
  <c r="J22" i="55"/>
  <c r="J19" i="55"/>
  <c r="Q18" i="55"/>
  <c r="J16" i="55"/>
  <c r="Q16" i="55"/>
  <c r="K19" i="55"/>
  <c r="K18" i="55"/>
  <c r="J17" i="55"/>
  <c r="J20" i="55"/>
  <c r="K25" i="55"/>
  <c r="I24" i="55"/>
  <c r="L25" i="55"/>
  <c r="L27" i="55"/>
  <c r="L23" i="55"/>
  <c r="I23" i="55"/>
  <c r="I19" i="55"/>
  <c r="L16" i="55"/>
  <c r="I22" i="55"/>
  <c r="I26" i="55"/>
  <c r="L20" i="55"/>
  <c r="L21" i="55"/>
  <c r="L18" i="55"/>
  <c r="I25" i="55"/>
  <c r="N26" i="55"/>
  <c r="G20" i="55"/>
  <c r="O23" i="55"/>
  <c r="I16" i="55"/>
  <c r="I27" i="55"/>
  <c r="L19" i="55"/>
  <c r="L26" i="55"/>
  <c r="I20" i="55"/>
  <c r="L24" i="55"/>
  <c r="I18" i="55"/>
  <c r="G26" i="55"/>
  <c r="N21" i="55"/>
  <c r="N25" i="55"/>
  <c r="G21" i="55"/>
  <c r="G23" i="55"/>
  <c r="G19" i="55"/>
  <c r="O26" i="55"/>
  <c r="O22" i="55"/>
  <c r="N16" i="55"/>
  <c r="N23" i="55"/>
  <c r="O20" i="55"/>
  <c r="G16" i="55"/>
  <c r="G27" i="55"/>
  <c r="G18" i="55"/>
  <c r="O25" i="55"/>
  <c r="O19" i="55"/>
  <c r="N27" i="55"/>
  <c r="N17" i="55"/>
  <c r="N18" i="55"/>
  <c r="N20" i="55"/>
  <c r="O21" i="55"/>
  <c r="O24" i="55"/>
  <c r="G17" i="55"/>
  <c r="G25" i="55"/>
  <c r="O17" i="55"/>
  <c r="O27" i="55"/>
  <c r="S16" i="55" a="1"/>
  <c r="G30" i="55" a="1"/>
  <c r="S17" i="59"/>
  <c r="T17" i="59" s="1"/>
  <c r="H30" i="59"/>
  <c r="H37" i="63" s="1"/>
  <c r="S19" i="59"/>
  <c r="J30" i="59"/>
  <c r="J37" i="63" s="1"/>
  <c r="R19" i="55"/>
  <c r="R21" i="55"/>
  <c r="R22" i="55"/>
  <c r="R25" i="55"/>
  <c r="R27" i="55"/>
  <c r="R24" i="55"/>
  <c r="R16" i="55"/>
  <c r="R17" i="55"/>
  <c r="R18" i="55"/>
  <c r="R20" i="55"/>
  <c r="R26" i="55"/>
  <c r="R23" i="55"/>
  <c r="T27" i="58"/>
  <c r="T19" i="58"/>
  <c r="T23" i="57"/>
  <c r="T17" i="58"/>
  <c r="T24" i="58"/>
  <c r="T26" i="58"/>
  <c r="T23" i="59"/>
  <c r="T25" i="59"/>
  <c r="T26" i="59"/>
  <c r="T24" i="59"/>
  <c r="T27" i="59"/>
  <c r="T18" i="58"/>
  <c r="T21" i="59"/>
  <c r="T22" i="59"/>
  <c r="T20" i="58"/>
  <c r="T21" i="58"/>
  <c r="T22" i="58"/>
  <c r="T23" i="58"/>
  <c r="T25" i="58"/>
  <c r="J8" i="1"/>
  <c r="T26" i="57" l="1"/>
  <c r="T27" i="57"/>
  <c r="T25" i="57"/>
  <c r="T22" i="57"/>
  <c r="T21" i="57"/>
  <c r="T19" i="57"/>
  <c r="T17" i="57"/>
  <c r="T20" i="57"/>
  <c r="T18" i="57"/>
  <c r="T19" i="59"/>
  <c r="T18" i="59"/>
  <c r="T20" i="59"/>
  <c r="N30" i="55"/>
  <c r="H30" i="55"/>
  <c r="P30" i="55"/>
  <c r="Q30" i="55"/>
  <c r="J30" i="55"/>
  <c r="I30" i="55"/>
  <c r="L30" i="55"/>
  <c r="G30" i="55"/>
  <c r="G34" i="63" s="1"/>
  <c r="K30" i="55"/>
  <c r="M30" i="55"/>
  <c r="O30" i="55"/>
  <c r="R30" i="55"/>
  <c r="S25" i="55"/>
  <c r="S16" i="55"/>
  <c r="S17" i="55"/>
  <c r="S20" i="55"/>
  <c r="S22" i="55"/>
  <c r="S27" i="55"/>
  <c r="S26" i="55"/>
  <c r="S23" i="55"/>
  <c r="S24" i="55"/>
  <c r="S19" i="55"/>
  <c r="S21" i="55"/>
  <c r="S18" i="55"/>
  <c r="J11" i="1"/>
  <c r="J10" i="1"/>
  <c r="J9" i="1"/>
  <c r="R34" i="63" l="1"/>
  <c r="P34" i="63"/>
  <c r="Q34" i="63"/>
  <c r="O34" i="63"/>
  <c r="N34" i="63"/>
  <c r="M34" i="63"/>
  <c r="L34" i="63"/>
  <c r="I34" i="63"/>
  <c r="H34" i="63"/>
  <c r="K34" i="63"/>
  <c r="J34" i="63"/>
  <c r="E12" i="59"/>
  <c r="E10" i="59"/>
  <c r="E11" i="59"/>
  <c r="E11" i="57"/>
  <c r="E11" i="58"/>
  <c r="E10" i="57"/>
  <c r="E10" i="58"/>
  <c r="E12" i="57"/>
  <c r="E12" i="58"/>
  <c r="E11" i="55"/>
  <c r="E11" i="56"/>
  <c r="E10" i="55"/>
  <c r="E10" i="56"/>
  <c r="E12" i="55"/>
  <c r="E12" i="56"/>
  <c r="D15" i="1" l="1"/>
  <c r="G31" i="57" l="1" a="1"/>
  <c r="J49" i="1"/>
  <c r="G31" i="58" l="1" a="1"/>
  <c r="H31" i="57"/>
  <c r="Q31" i="57"/>
  <c r="O31" i="57"/>
  <c r="K31" i="57"/>
  <c r="G31" i="57"/>
  <c r="I31" i="57"/>
  <c r="R31" i="57"/>
  <c r="L31" i="57"/>
  <c r="J31" i="57"/>
  <c r="M31" i="57"/>
  <c r="N31" i="57"/>
  <c r="P31" i="57"/>
  <c r="J32" i="59"/>
  <c r="I32" i="59"/>
  <c r="B20" i="1"/>
  <c r="B21" i="1" s="1"/>
  <c r="B22" i="1" s="1"/>
  <c r="B23" i="1" s="1"/>
  <c r="B24" i="1" s="1"/>
  <c r="B25" i="1" s="1"/>
  <c r="B26" i="1" s="1"/>
  <c r="B27" i="1" s="1"/>
  <c r="B28" i="1" s="1"/>
  <c r="B29" i="1" s="1"/>
  <c r="B30" i="1" s="1"/>
  <c r="H31" i="58" l="1"/>
  <c r="P31" i="58"/>
  <c r="I31" i="58"/>
  <c r="R31" i="58"/>
  <c r="K31" i="58"/>
  <c r="Q31" i="58"/>
  <c r="M31" i="58"/>
  <c r="N31" i="58"/>
  <c r="L31" i="58"/>
  <c r="J31" i="58"/>
  <c r="O31" i="58"/>
  <c r="G31" i="58"/>
  <c r="J6" i="1"/>
  <c r="X38" i="73" s="1"/>
  <c r="J5" i="1"/>
  <c r="E38" i="73" l="1"/>
  <c r="E38" i="68"/>
  <c r="E37" i="71"/>
  <c r="E37" i="72"/>
  <c r="X37" i="71"/>
  <c r="X37" i="72"/>
  <c r="E38" i="69"/>
  <c r="X38" i="68"/>
  <c r="X38" i="69"/>
  <c r="G31" i="55" a="1"/>
  <c r="X38" i="66"/>
  <c r="X38" i="67"/>
  <c r="E38" i="66"/>
  <c r="E38" i="67"/>
  <c r="D5" i="65"/>
  <c r="D6" i="65"/>
  <c r="E38" i="63"/>
  <c r="X38" i="63"/>
  <c r="E38" i="61"/>
  <c r="X38" i="61"/>
  <c r="X38" i="59"/>
  <c r="X37" i="60"/>
  <c r="E38" i="59"/>
  <c r="E37" i="60"/>
  <c r="E38" i="57"/>
  <c r="E38" i="58"/>
  <c r="X38" i="57"/>
  <c r="X38" i="58"/>
  <c r="X38" i="55"/>
  <c r="X36" i="56"/>
  <c r="E38" i="55"/>
  <c r="E36" i="56"/>
  <c r="I921" i="65" l="1"/>
  <c r="M922" i="65"/>
  <c r="Q923" i="65"/>
  <c r="I925" i="65"/>
  <c r="M926" i="65"/>
  <c r="Q927" i="65"/>
  <c r="I929" i="65"/>
  <c r="M930" i="65"/>
  <c r="Q931" i="65"/>
  <c r="I933" i="65"/>
  <c r="M934" i="65"/>
  <c r="Q935" i="65"/>
  <c r="I937" i="65"/>
  <c r="M938" i="65"/>
  <c r="Q939" i="65"/>
  <c r="I941" i="65"/>
  <c r="M942" i="65"/>
  <c r="Q943" i="65"/>
  <c r="I945" i="65"/>
  <c r="M946" i="65"/>
  <c r="Q947" i="65"/>
  <c r="I949" i="65"/>
  <c r="J922" i="65"/>
  <c r="N923" i="65"/>
  <c r="R924" i="65"/>
  <c r="J926" i="65"/>
  <c r="N927" i="65"/>
  <c r="R928" i="65"/>
  <c r="J930" i="65"/>
  <c r="N931" i="65"/>
  <c r="R932" i="65"/>
  <c r="J934" i="65"/>
  <c r="N935" i="65"/>
  <c r="R936" i="65"/>
  <c r="J938" i="65"/>
  <c r="N939" i="65"/>
  <c r="R940" i="65"/>
  <c r="J942" i="65"/>
  <c r="N943" i="65"/>
  <c r="R944" i="65"/>
  <c r="J946" i="65"/>
  <c r="N947" i="65"/>
  <c r="L921" i="65"/>
  <c r="P922" i="65"/>
  <c r="T923" i="65"/>
  <c r="L925" i="65"/>
  <c r="P926" i="65"/>
  <c r="T927" i="65"/>
  <c r="L929" i="65"/>
  <c r="P930" i="65"/>
  <c r="T931" i="65"/>
  <c r="L933" i="65"/>
  <c r="P934" i="65"/>
  <c r="T935" i="65"/>
  <c r="L937" i="65"/>
  <c r="P938" i="65"/>
  <c r="T939" i="65"/>
  <c r="L941" i="65"/>
  <c r="P942" i="65"/>
  <c r="T943" i="65"/>
  <c r="L945" i="65"/>
  <c r="P946" i="65"/>
  <c r="T947" i="65"/>
  <c r="K921" i="65"/>
  <c r="O926" i="65"/>
  <c r="S931" i="65"/>
  <c r="K937" i="65"/>
  <c r="O942" i="65"/>
  <c r="S947" i="65"/>
  <c r="I950" i="65"/>
  <c r="M951" i="65"/>
  <c r="Q952" i="65"/>
  <c r="I954" i="65"/>
  <c r="M955" i="65"/>
  <c r="Q956" i="65"/>
  <c r="I958" i="65"/>
  <c r="M959" i="65"/>
  <c r="Q960" i="65"/>
  <c r="I962" i="65"/>
  <c r="M963" i="65"/>
  <c r="Q964" i="65"/>
  <c r="I966" i="65"/>
  <c r="M967" i="65"/>
  <c r="Q968" i="65"/>
  <c r="I970" i="65"/>
  <c r="Q921" i="65"/>
  <c r="I923" i="65"/>
  <c r="M924" i="65"/>
  <c r="Q925" i="65"/>
  <c r="I927" i="65"/>
  <c r="M928" i="65"/>
  <c r="Q929" i="65"/>
  <c r="I931" i="65"/>
  <c r="M932" i="65"/>
  <c r="Q933" i="65"/>
  <c r="I935" i="65"/>
  <c r="M936" i="65"/>
  <c r="Q937" i="65"/>
  <c r="I939" i="65"/>
  <c r="M940" i="65"/>
  <c r="Q941" i="65"/>
  <c r="I943" i="65"/>
  <c r="M944" i="65"/>
  <c r="Q945" i="65"/>
  <c r="I947" i="65"/>
  <c r="M948" i="65"/>
  <c r="N921" i="65"/>
  <c r="R922" i="65"/>
  <c r="J924" i="65"/>
  <c r="N925" i="65"/>
  <c r="R926" i="65"/>
  <c r="J928" i="65"/>
  <c r="N929" i="65"/>
  <c r="R930" i="65"/>
  <c r="J932" i="65"/>
  <c r="N933" i="65"/>
  <c r="R934" i="65"/>
  <c r="J936" i="65"/>
  <c r="N937" i="65"/>
  <c r="R938" i="65"/>
  <c r="J940" i="65"/>
  <c r="N941" i="65"/>
  <c r="R942" i="65"/>
  <c r="J944" i="65"/>
  <c r="N945" i="65"/>
  <c r="R946" i="65"/>
  <c r="J948" i="65"/>
  <c r="T921" i="65"/>
  <c r="L923" i="65"/>
  <c r="P924" i="65"/>
  <c r="T925" i="65"/>
  <c r="L927" i="65"/>
  <c r="P928" i="65"/>
  <c r="T929" i="65"/>
  <c r="L931" i="65"/>
  <c r="P932" i="65"/>
  <c r="T933" i="65"/>
  <c r="L935" i="65"/>
  <c r="P936" i="65"/>
  <c r="T937" i="65"/>
  <c r="L939" i="65"/>
  <c r="P940" i="65"/>
  <c r="T941" i="65"/>
  <c r="L943" i="65"/>
  <c r="P944" i="65"/>
  <c r="T945" i="65"/>
  <c r="L947" i="65"/>
  <c r="P948" i="65"/>
  <c r="S923" i="65"/>
  <c r="K929" i="65"/>
  <c r="O934" i="65"/>
  <c r="S939" i="65"/>
  <c r="K945" i="65"/>
  <c r="M949" i="65"/>
  <c r="Q950" i="65"/>
  <c r="I952" i="65"/>
  <c r="M953" i="65"/>
  <c r="Q954" i="65"/>
  <c r="I956" i="65"/>
  <c r="M957" i="65"/>
  <c r="Q958" i="65"/>
  <c r="I960" i="65"/>
  <c r="M961" i="65"/>
  <c r="Q962" i="65"/>
  <c r="I964" i="65"/>
  <c r="M965" i="65"/>
  <c r="Q966" i="65"/>
  <c r="I968" i="65"/>
  <c r="M969" i="65"/>
  <c r="Q970" i="65"/>
  <c r="M921" i="65"/>
  <c r="I924" i="65"/>
  <c r="Q926" i="65"/>
  <c r="M929" i="65"/>
  <c r="I932" i="65"/>
  <c r="Q934" i="65"/>
  <c r="M937" i="65"/>
  <c r="I940" i="65"/>
  <c r="Q942" i="65"/>
  <c r="M945" i="65"/>
  <c r="I948" i="65"/>
  <c r="N922" i="65"/>
  <c r="J925" i="65"/>
  <c r="R927" i="65"/>
  <c r="N930" i="65"/>
  <c r="J933" i="65"/>
  <c r="R935" i="65"/>
  <c r="N938" i="65"/>
  <c r="J941" i="65"/>
  <c r="R943" i="65"/>
  <c r="N946" i="65"/>
  <c r="P921" i="65"/>
  <c r="L924" i="65"/>
  <c r="T926" i="65"/>
  <c r="P929" i="65"/>
  <c r="L932" i="65"/>
  <c r="T934" i="65"/>
  <c r="P937" i="65"/>
  <c r="L940" i="65"/>
  <c r="T942" i="65"/>
  <c r="P945" i="65"/>
  <c r="L948" i="65"/>
  <c r="S927" i="65"/>
  <c r="O938" i="65"/>
  <c r="S948" i="65"/>
  <c r="Q951" i="65"/>
  <c r="M954" i="65"/>
  <c r="I957" i="65"/>
  <c r="Q959" i="65"/>
  <c r="M962" i="65"/>
  <c r="I965" i="65"/>
  <c r="Q967" i="65"/>
  <c r="M970" i="65"/>
  <c r="O925" i="65"/>
  <c r="S930" i="65"/>
  <c r="K936" i="65"/>
  <c r="O941" i="65"/>
  <c r="S946" i="65"/>
  <c r="R949" i="65"/>
  <c r="J951" i="65"/>
  <c r="N952" i="65"/>
  <c r="R953" i="65"/>
  <c r="J955" i="65"/>
  <c r="N956" i="65"/>
  <c r="R957" i="65"/>
  <c r="J959" i="65"/>
  <c r="N960" i="65"/>
  <c r="R961" i="65"/>
  <c r="J963" i="65"/>
  <c r="N964" i="65"/>
  <c r="R965" i="65"/>
  <c r="J967" i="65"/>
  <c r="N968" i="65"/>
  <c r="R969" i="65"/>
  <c r="O924" i="65"/>
  <c r="S929" i="65"/>
  <c r="K935" i="65"/>
  <c r="O940" i="65"/>
  <c r="S945" i="65"/>
  <c r="O949" i="65"/>
  <c r="S950" i="65"/>
  <c r="K952" i="65"/>
  <c r="O953" i="65"/>
  <c r="S954" i="65"/>
  <c r="K956" i="65"/>
  <c r="K922" i="65"/>
  <c r="O927" i="65"/>
  <c r="S932" i="65"/>
  <c r="K938" i="65"/>
  <c r="O943" i="65"/>
  <c r="R948" i="65"/>
  <c r="L950" i="65"/>
  <c r="P951" i="65"/>
  <c r="T952" i="65"/>
  <c r="L954" i="65"/>
  <c r="Q922" i="65"/>
  <c r="M925" i="65"/>
  <c r="I928" i="65"/>
  <c r="Q930" i="65"/>
  <c r="M933" i="65"/>
  <c r="I936" i="65"/>
  <c r="Q938" i="65"/>
  <c r="M941" i="65"/>
  <c r="I944" i="65"/>
  <c r="Q946" i="65"/>
  <c r="J921" i="65"/>
  <c r="R923" i="65"/>
  <c r="N926" i="65"/>
  <c r="J929" i="65"/>
  <c r="R931" i="65"/>
  <c r="N934" i="65"/>
  <c r="J937" i="65"/>
  <c r="R939" i="65"/>
  <c r="N942" i="65"/>
  <c r="J945" i="65"/>
  <c r="R947" i="65"/>
  <c r="T922" i="65"/>
  <c r="P925" i="65"/>
  <c r="L928" i="65"/>
  <c r="T930" i="65"/>
  <c r="P933" i="65"/>
  <c r="L936" i="65"/>
  <c r="T938" i="65"/>
  <c r="P941" i="65"/>
  <c r="L944" i="65"/>
  <c r="T946" i="65"/>
  <c r="O922" i="65"/>
  <c r="K933" i="65"/>
  <c r="S943" i="65"/>
  <c r="M950" i="65"/>
  <c r="I953" i="65"/>
  <c r="Q955" i="65"/>
  <c r="M958" i="65"/>
  <c r="I961" i="65"/>
  <c r="Q963" i="65"/>
  <c r="M966" i="65"/>
  <c r="I969" i="65"/>
  <c r="S922" i="65"/>
  <c r="K928" i="65"/>
  <c r="O933" i="65"/>
  <c r="S938" i="65"/>
  <c r="K944" i="65"/>
  <c r="J949" i="65"/>
  <c r="N950" i="65"/>
  <c r="R951" i="65"/>
  <c r="J953" i="65"/>
  <c r="N954" i="65"/>
  <c r="R955" i="65"/>
  <c r="J957" i="65"/>
  <c r="N958" i="65"/>
  <c r="R959" i="65"/>
  <c r="J961" i="65"/>
  <c r="N962" i="65"/>
  <c r="R963" i="65"/>
  <c r="J965" i="65"/>
  <c r="N966" i="65"/>
  <c r="R967" i="65"/>
  <c r="J969" i="65"/>
  <c r="S921" i="65"/>
  <c r="K927" i="65"/>
  <c r="O932" i="65"/>
  <c r="S937" i="65"/>
  <c r="K943" i="65"/>
  <c r="O948" i="65"/>
  <c r="K950" i="65"/>
  <c r="O951" i="65"/>
  <c r="S952" i="65"/>
  <c r="K954" i="65"/>
  <c r="O955" i="65"/>
  <c r="S956" i="65"/>
  <c r="S924" i="65"/>
  <c r="K930" i="65"/>
  <c r="O935" i="65"/>
  <c r="S940" i="65"/>
  <c r="K946" i="65"/>
  <c r="P949" i="65"/>
  <c r="T950" i="65"/>
  <c r="L952" i="65"/>
  <c r="P953" i="65"/>
  <c r="T954" i="65"/>
  <c r="L956" i="65"/>
  <c r="I922" i="65"/>
  <c r="M927" i="65"/>
  <c r="Q932" i="65"/>
  <c r="I938" i="65"/>
  <c r="M943" i="65"/>
  <c r="Q948" i="65"/>
  <c r="R925" i="65"/>
  <c r="J931" i="65"/>
  <c r="N936" i="65"/>
  <c r="R941" i="65"/>
  <c r="J947" i="65"/>
  <c r="T924" i="65"/>
  <c r="L930" i="65"/>
  <c r="P935" i="65"/>
  <c r="T940" i="65"/>
  <c r="L946" i="65"/>
  <c r="O930" i="65"/>
  <c r="Q949" i="65"/>
  <c r="I955" i="65"/>
  <c r="M960" i="65"/>
  <c r="Q965" i="65"/>
  <c r="O921" i="65"/>
  <c r="K932" i="65"/>
  <c r="S942" i="65"/>
  <c r="J950" i="65"/>
  <c r="R952" i="65"/>
  <c r="N955" i="65"/>
  <c r="J958" i="65"/>
  <c r="R960" i="65"/>
  <c r="N963" i="65"/>
  <c r="J966" i="65"/>
  <c r="R968" i="65"/>
  <c r="S925" i="65"/>
  <c r="O936" i="65"/>
  <c r="K947" i="65"/>
  <c r="K951" i="65"/>
  <c r="S953" i="65"/>
  <c r="O956" i="65"/>
  <c r="S928" i="65"/>
  <c r="O939" i="65"/>
  <c r="L949" i="65"/>
  <c r="T951" i="65"/>
  <c r="P954" i="65"/>
  <c r="P956" i="65"/>
  <c r="T957" i="65"/>
  <c r="L959" i="65"/>
  <c r="P960" i="65"/>
  <c r="T961" i="65"/>
  <c r="L963" i="65"/>
  <c r="P964" i="65"/>
  <c r="T965" i="65"/>
  <c r="L967" i="65"/>
  <c r="P968" i="65"/>
  <c r="T969" i="65"/>
  <c r="K960" i="65"/>
  <c r="O965" i="65"/>
  <c r="O970" i="65"/>
  <c r="T971" i="65"/>
  <c r="L973" i="65"/>
  <c r="P974" i="65"/>
  <c r="T975" i="65"/>
  <c r="L977" i="65"/>
  <c r="P978" i="65"/>
  <c r="T979" i="65"/>
  <c r="L981" i="65"/>
  <c r="P982" i="65"/>
  <c r="T983" i="65"/>
  <c r="Q13" i="56" s="1"/>
  <c r="L985" i="65"/>
  <c r="P986" i="65"/>
  <c r="T987" i="65"/>
  <c r="P16" i="56" s="1"/>
  <c r="L989" i="65"/>
  <c r="P990" i="65"/>
  <c r="T991" i="65"/>
  <c r="S957" i="65"/>
  <c r="K963" i="65"/>
  <c r="O968" i="65"/>
  <c r="M971" i="65"/>
  <c r="Q972" i="65"/>
  <c r="I974" i="65"/>
  <c r="M975" i="65"/>
  <c r="Q976" i="65"/>
  <c r="I978" i="65"/>
  <c r="M979" i="65"/>
  <c r="Q980" i="65"/>
  <c r="I982" i="65"/>
  <c r="M983" i="65"/>
  <c r="Q984" i="65"/>
  <c r="I986" i="65"/>
  <c r="M987" i="65"/>
  <c r="Q988" i="65"/>
  <c r="I990" i="65"/>
  <c r="M991" i="65"/>
  <c r="Q992" i="65"/>
  <c r="S960" i="65"/>
  <c r="K966" i="65"/>
  <c r="R970" i="65"/>
  <c r="J972" i="65"/>
  <c r="N973" i="65"/>
  <c r="R974" i="65"/>
  <c r="J976" i="65"/>
  <c r="N977" i="65"/>
  <c r="R978" i="65"/>
  <c r="J980" i="65"/>
  <c r="N981" i="65"/>
  <c r="R982" i="65"/>
  <c r="J984" i="65"/>
  <c r="N985" i="65"/>
  <c r="R986" i="65"/>
  <c r="J988" i="65"/>
  <c r="N989" i="65"/>
  <c r="R990" i="65"/>
  <c r="J992" i="65"/>
  <c r="K961" i="65"/>
  <c r="O966" i="65"/>
  <c r="S970" i="65"/>
  <c r="K972" i="65"/>
  <c r="O973" i="65"/>
  <c r="S974" i="65"/>
  <c r="K976" i="65"/>
  <c r="O977" i="65"/>
  <c r="S978" i="65"/>
  <c r="K980" i="65"/>
  <c r="O981" i="65"/>
  <c r="S982" i="65"/>
  <c r="K984" i="65"/>
  <c r="O985" i="65"/>
  <c r="S986" i="65"/>
  <c r="K988" i="65"/>
  <c r="O989" i="65"/>
  <c r="S990" i="65"/>
  <c r="K992" i="65"/>
  <c r="H988" i="65"/>
  <c r="H972" i="65"/>
  <c r="H956" i="65"/>
  <c r="H940" i="65"/>
  <c r="H924" i="65"/>
  <c r="H979" i="65"/>
  <c r="H963" i="65"/>
  <c r="H947" i="65"/>
  <c r="H931" i="65"/>
  <c r="H986" i="65"/>
  <c r="H970" i="65"/>
  <c r="H954" i="65"/>
  <c r="H938" i="65"/>
  <c r="H922" i="65"/>
  <c r="H977" i="65"/>
  <c r="H961" i="65"/>
  <c r="H945" i="65"/>
  <c r="H929" i="65"/>
  <c r="M923" i="65"/>
  <c r="Q928" i="65"/>
  <c r="I934" i="65"/>
  <c r="M939" i="65"/>
  <c r="Q944" i="65"/>
  <c r="R921" i="65"/>
  <c r="J927" i="65"/>
  <c r="N932" i="65"/>
  <c r="R937" i="65"/>
  <c r="J943" i="65"/>
  <c r="N948" i="65"/>
  <c r="L926" i="65"/>
  <c r="P931" i="65"/>
  <c r="T936" i="65"/>
  <c r="Q924" i="65"/>
  <c r="I930" i="65"/>
  <c r="M935" i="65"/>
  <c r="Q940" i="65"/>
  <c r="I946" i="65"/>
  <c r="J923" i="65"/>
  <c r="N928" i="65"/>
  <c r="R933" i="65"/>
  <c r="J939" i="65"/>
  <c r="N944" i="65"/>
  <c r="L922" i="65"/>
  <c r="P927" i="65"/>
  <c r="T932" i="65"/>
  <c r="L938" i="65"/>
  <c r="P943" i="65"/>
  <c r="T948" i="65"/>
  <c r="K941" i="65"/>
  <c r="M952" i="65"/>
  <c r="Q957" i="65"/>
  <c r="I963" i="65"/>
  <c r="M968" i="65"/>
  <c r="S926" i="65"/>
  <c r="O937" i="65"/>
  <c r="K948" i="65"/>
  <c r="N951" i="65"/>
  <c r="J954" i="65"/>
  <c r="R956" i="65"/>
  <c r="N959" i="65"/>
  <c r="J962" i="65"/>
  <c r="R964" i="65"/>
  <c r="N967" i="65"/>
  <c r="J970" i="65"/>
  <c r="K931" i="65"/>
  <c r="S941" i="65"/>
  <c r="S949" i="65"/>
  <c r="O952" i="65"/>
  <c r="K955" i="65"/>
  <c r="O923" i="65"/>
  <c r="K934" i="65"/>
  <c r="S944" i="65"/>
  <c r="P950" i="65"/>
  <c r="L953" i="65"/>
  <c r="P955" i="65"/>
  <c r="L957" i="65"/>
  <c r="P958" i="65"/>
  <c r="T959" i="65"/>
  <c r="L961" i="65"/>
  <c r="P962" i="65"/>
  <c r="T963" i="65"/>
  <c r="L965" i="65"/>
  <c r="P966" i="65"/>
  <c r="T967" i="65"/>
  <c r="L969" i="65"/>
  <c r="O957" i="65"/>
  <c r="S962" i="65"/>
  <c r="K968" i="65"/>
  <c r="L971" i="65"/>
  <c r="P972" i="65"/>
  <c r="T973" i="65"/>
  <c r="L975" i="65"/>
  <c r="P976" i="65"/>
  <c r="T977" i="65"/>
  <c r="L979" i="65"/>
  <c r="P980" i="65"/>
  <c r="T981" i="65"/>
  <c r="Q16" i="56" s="1"/>
  <c r="L983" i="65"/>
  <c r="P984" i="65"/>
  <c r="T985" i="65"/>
  <c r="L987" i="65"/>
  <c r="P988" i="65"/>
  <c r="T989" i="65"/>
  <c r="P13" i="56" s="1"/>
  <c r="L991" i="65"/>
  <c r="P992" i="65"/>
  <c r="O960" i="65"/>
  <c r="S965" i="65"/>
  <c r="P970" i="65"/>
  <c r="I972" i="65"/>
  <c r="M973" i="65"/>
  <c r="Q974" i="65"/>
  <c r="I976" i="65"/>
  <c r="M977" i="65"/>
  <c r="Q978" i="65"/>
  <c r="I980" i="65"/>
  <c r="M981" i="65"/>
  <c r="Q982" i="65"/>
  <c r="I984" i="65"/>
  <c r="M985" i="65"/>
  <c r="Q986" i="65"/>
  <c r="I988" i="65"/>
  <c r="M989" i="65"/>
  <c r="Q990" i="65"/>
  <c r="I992" i="65"/>
  <c r="K958" i="65"/>
  <c r="O963" i="65"/>
  <c r="S968" i="65"/>
  <c r="N971" i="65"/>
  <c r="R972" i="65"/>
  <c r="J974" i="65"/>
  <c r="N975" i="65"/>
  <c r="R976" i="65"/>
  <c r="J978" i="65"/>
  <c r="N979" i="65"/>
  <c r="R980" i="65"/>
  <c r="J982" i="65"/>
  <c r="N983" i="65"/>
  <c r="R984" i="65"/>
  <c r="J986" i="65"/>
  <c r="N987" i="65"/>
  <c r="R988" i="65"/>
  <c r="J990" i="65"/>
  <c r="N991" i="65"/>
  <c r="O958" i="65"/>
  <c r="S963" i="65"/>
  <c r="K969" i="65"/>
  <c r="O971" i="65"/>
  <c r="S972" i="65"/>
  <c r="K974" i="65"/>
  <c r="O975" i="65"/>
  <c r="S976" i="65"/>
  <c r="K978" i="65"/>
  <c r="O979" i="65"/>
  <c r="S980" i="65"/>
  <c r="K982" i="65"/>
  <c r="O983" i="65"/>
  <c r="S984" i="65"/>
  <c r="K986" i="65"/>
  <c r="O987" i="65"/>
  <c r="S988" i="65"/>
  <c r="K990" i="65"/>
  <c r="O991" i="65"/>
  <c r="S992" i="65"/>
  <c r="H980" i="65"/>
  <c r="H964" i="65"/>
  <c r="H948" i="65"/>
  <c r="H932" i="65"/>
  <c r="H987" i="65"/>
  <c r="H971" i="65"/>
  <c r="H955" i="65"/>
  <c r="H939" i="65"/>
  <c r="H923" i="65"/>
  <c r="H978" i="65"/>
  <c r="H962" i="65"/>
  <c r="H946" i="65"/>
  <c r="H930" i="65"/>
  <c r="H985" i="65"/>
  <c r="H969" i="65"/>
  <c r="H953" i="65"/>
  <c r="H937" i="65"/>
  <c r="H921" i="65"/>
  <c r="I926" i="65"/>
  <c r="M931" i="65"/>
  <c r="Q936" i="65"/>
  <c r="I942" i="65"/>
  <c r="M947" i="65"/>
  <c r="N924" i="65"/>
  <c r="R929" i="65"/>
  <c r="J935" i="65"/>
  <c r="N940" i="65"/>
  <c r="R945" i="65"/>
  <c r="P923" i="65"/>
  <c r="T928" i="65"/>
  <c r="L934" i="65"/>
  <c r="P939" i="65"/>
  <c r="T944" i="65"/>
  <c r="K925" i="65"/>
  <c r="O946" i="65"/>
  <c r="Q953" i="65"/>
  <c r="I959" i="65"/>
  <c r="M964" i="65"/>
  <c r="Q969" i="65"/>
  <c r="O947" i="65"/>
  <c r="L960" i="65"/>
  <c r="P965" i="65"/>
  <c r="S958" i="65"/>
  <c r="T972" i="65"/>
  <c r="L978" i="65"/>
  <c r="P983" i="65"/>
  <c r="T988" i="65"/>
  <c r="P17" i="56" s="1"/>
  <c r="S961" i="65"/>
  <c r="Q973" i="65"/>
  <c r="Q981" i="65"/>
  <c r="I987" i="65"/>
  <c r="S964" i="65"/>
  <c r="J977" i="65"/>
  <c r="J985" i="65"/>
  <c r="S959" i="65"/>
  <c r="S975" i="65"/>
  <c r="S983" i="65"/>
  <c r="S991" i="65"/>
  <c r="H983" i="65"/>
  <c r="H958" i="65"/>
  <c r="H933" i="65"/>
  <c r="S934" i="65"/>
  <c r="N961" i="65"/>
  <c r="K949" i="65"/>
  <c r="S935" i="65"/>
  <c r="I967" i="65"/>
  <c r="K940" i="65"/>
  <c r="J952" i="65"/>
  <c r="N957" i="65"/>
  <c r="R962" i="65"/>
  <c r="J968" i="65"/>
  <c r="S933" i="65"/>
  <c r="O950" i="65"/>
  <c r="S955" i="65"/>
  <c r="S936" i="65"/>
  <c r="L951" i="65"/>
  <c r="T955" i="65"/>
  <c r="T958" i="65"/>
  <c r="P961" i="65"/>
  <c r="L964" i="65"/>
  <c r="T966" i="65"/>
  <c r="P969" i="65"/>
  <c r="K964" i="65"/>
  <c r="P971" i="65"/>
  <c r="L974" i="65"/>
  <c r="T976" i="65"/>
  <c r="P979" i="65"/>
  <c r="L982" i="65"/>
  <c r="T984" i="65"/>
  <c r="Q14" i="56" s="1"/>
  <c r="P987" i="65"/>
  <c r="L990" i="65"/>
  <c r="T992" i="65"/>
  <c r="K967" i="65"/>
  <c r="M972" i="65"/>
  <c r="I975" i="65"/>
  <c r="Q977" i="65"/>
  <c r="M980" i="65"/>
  <c r="I983" i="65"/>
  <c r="Q985" i="65"/>
  <c r="M988" i="65"/>
  <c r="I991" i="65"/>
  <c r="O959" i="65"/>
  <c r="K970" i="65"/>
  <c r="J973" i="65"/>
  <c r="R975" i="65"/>
  <c r="N978" i="65"/>
  <c r="J981" i="65"/>
  <c r="R983" i="65"/>
  <c r="N986" i="65"/>
  <c r="J989" i="65"/>
  <c r="R991" i="65"/>
  <c r="K965" i="65"/>
  <c r="S971" i="65"/>
  <c r="O974" i="65"/>
  <c r="K977" i="65"/>
  <c r="S979" i="65"/>
  <c r="O982" i="65"/>
  <c r="K985" i="65"/>
  <c r="S987" i="65"/>
  <c r="O990" i="65"/>
  <c r="H992" i="65"/>
  <c r="H960" i="65"/>
  <c r="H928" i="65"/>
  <c r="H967" i="65"/>
  <c r="H935" i="65"/>
  <c r="H974" i="65"/>
  <c r="H942" i="65"/>
  <c r="H981" i="65"/>
  <c r="H949" i="65"/>
  <c r="O929" i="65"/>
  <c r="R954" i="65"/>
  <c r="N965" i="65"/>
  <c r="O944" i="65"/>
  <c r="K926" i="65"/>
  <c r="T953" i="65"/>
  <c r="P957" i="65"/>
  <c r="T962" i="65"/>
  <c r="L968" i="65"/>
  <c r="O969" i="65"/>
  <c r="P975" i="65"/>
  <c r="T980" i="65"/>
  <c r="L986" i="65"/>
  <c r="P991" i="65"/>
  <c r="I971" i="65"/>
  <c r="I979" i="65"/>
  <c r="M984" i="65"/>
  <c r="M992" i="65"/>
  <c r="N974" i="65"/>
  <c r="N982" i="65"/>
  <c r="N990" i="65"/>
  <c r="K973" i="65"/>
  <c r="K981" i="65"/>
  <c r="K989" i="65"/>
  <c r="H944" i="65"/>
  <c r="H990" i="65"/>
  <c r="H965" i="65"/>
  <c r="Q961" i="65"/>
  <c r="J956" i="65"/>
  <c r="O928" i="65"/>
  <c r="I951" i="65"/>
  <c r="K924" i="65"/>
  <c r="O945" i="65"/>
  <c r="N953" i="65"/>
  <c r="R958" i="65"/>
  <c r="J964" i="65"/>
  <c r="N969" i="65"/>
  <c r="K939" i="65"/>
  <c r="S951" i="65"/>
  <c r="K957" i="65"/>
  <c r="K942" i="65"/>
  <c r="P952" i="65"/>
  <c r="T956" i="65"/>
  <c r="P959" i="65"/>
  <c r="L962" i="65"/>
  <c r="T964" i="65"/>
  <c r="P967" i="65"/>
  <c r="L970" i="65"/>
  <c r="S966" i="65"/>
  <c r="L972" i="65"/>
  <c r="T974" i="65"/>
  <c r="P977" i="65"/>
  <c r="L980" i="65"/>
  <c r="T982" i="65"/>
  <c r="Q17" i="56" s="1"/>
  <c r="W17" i="56" s="1"/>
  <c r="P985" i="65"/>
  <c r="L988" i="65"/>
  <c r="T990" i="65"/>
  <c r="P14" i="56" s="1"/>
  <c r="K959" i="65"/>
  <c r="S969" i="65"/>
  <c r="I973" i="65"/>
  <c r="Q975" i="65"/>
  <c r="M978" i="65"/>
  <c r="I981" i="65"/>
  <c r="Q983" i="65"/>
  <c r="M986" i="65"/>
  <c r="I989" i="65"/>
  <c r="Q991" i="65"/>
  <c r="K962" i="65"/>
  <c r="J971" i="65"/>
  <c r="R973" i="65"/>
  <c r="N976" i="65"/>
  <c r="J979" i="65"/>
  <c r="R981" i="65"/>
  <c r="N984" i="65"/>
  <c r="J987" i="65"/>
  <c r="R989" i="65"/>
  <c r="N992" i="65"/>
  <c r="S967" i="65"/>
  <c r="O972" i="65"/>
  <c r="K975" i="65"/>
  <c r="S977" i="65"/>
  <c r="O980" i="65"/>
  <c r="K983" i="65"/>
  <c r="S985" i="65"/>
  <c r="O988" i="65"/>
  <c r="K991" i="65"/>
  <c r="H984" i="65"/>
  <c r="H952" i="65"/>
  <c r="H991" i="65"/>
  <c r="H959" i="65"/>
  <c r="H927" i="65"/>
  <c r="H966" i="65"/>
  <c r="H934" i="65"/>
  <c r="H973" i="65"/>
  <c r="H941" i="65"/>
  <c r="L942" i="65"/>
  <c r="M956" i="65"/>
  <c r="N949" i="65"/>
  <c r="J960" i="65"/>
  <c r="K923" i="65"/>
  <c r="K953" i="65"/>
  <c r="M976" i="65"/>
  <c r="Q989" i="65"/>
  <c r="R971" i="65"/>
  <c r="R979" i="65"/>
  <c r="R987" i="65"/>
  <c r="N970" i="65"/>
  <c r="O978" i="65"/>
  <c r="O986" i="65"/>
  <c r="H976" i="65"/>
  <c r="H951" i="65"/>
  <c r="H926" i="65"/>
  <c r="P947" i="65"/>
  <c r="R950" i="65"/>
  <c r="R966" i="65"/>
  <c r="T949" i="65"/>
  <c r="P963" i="65"/>
  <c r="T970" i="65"/>
  <c r="P981" i="65"/>
  <c r="L992" i="65"/>
  <c r="I977" i="65"/>
  <c r="Q987" i="65"/>
  <c r="N972" i="65"/>
  <c r="J983" i="65"/>
  <c r="O962" i="65"/>
  <c r="K979" i="65"/>
  <c r="S989" i="65"/>
  <c r="H975" i="65"/>
  <c r="H989" i="65"/>
  <c r="L955" i="65"/>
  <c r="L966" i="65"/>
  <c r="P973" i="65"/>
  <c r="L984" i="65"/>
  <c r="O964" i="65"/>
  <c r="Q979" i="65"/>
  <c r="M990" i="65"/>
  <c r="J975" i="65"/>
  <c r="R985" i="65"/>
  <c r="K971" i="65"/>
  <c r="S981" i="65"/>
  <c r="O992" i="65"/>
  <c r="H943" i="65"/>
  <c r="H957" i="65"/>
  <c r="O954" i="65"/>
  <c r="L958" i="65"/>
  <c r="T968" i="65"/>
  <c r="L976" i="65"/>
  <c r="T986" i="65"/>
  <c r="Q971" i="65"/>
  <c r="M982" i="65"/>
  <c r="R992" i="65"/>
  <c r="R977" i="65"/>
  <c r="N988" i="65"/>
  <c r="S973" i="65"/>
  <c r="O984" i="65"/>
  <c r="H968" i="65"/>
  <c r="H982" i="65"/>
  <c r="H925" i="65"/>
  <c r="O931" i="65"/>
  <c r="T960" i="65"/>
  <c r="O961" i="65"/>
  <c r="T978" i="65"/>
  <c r="P989" i="65"/>
  <c r="M974" i="65"/>
  <c r="I985" i="65"/>
  <c r="O967" i="65"/>
  <c r="N980" i="65"/>
  <c r="J991" i="65"/>
  <c r="O976" i="65"/>
  <c r="K987" i="65"/>
  <c r="H936" i="65"/>
  <c r="H950" i="65"/>
  <c r="G31" i="59" a="1"/>
  <c r="H32" i="59"/>
  <c r="M31" i="55"/>
  <c r="G31" i="55"/>
  <c r="I31" i="55"/>
  <c r="Q31" i="55"/>
  <c r="O31" i="55"/>
  <c r="H31" i="55"/>
  <c r="P31" i="55"/>
  <c r="L31" i="55"/>
  <c r="J31" i="55"/>
  <c r="R31" i="55"/>
  <c r="K31" i="55"/>
  <c r="N31" i="55"/>
  <c r="E7" i="63"/>
  <c r="E7" i="61"/>
  <c r="E7" i="59"/>
  <c r="E7" i="60"/>
  <c r="E7" i="57"/>
  <c r="E7" i="58"/>
  <c r="E7" i="55"/>
  <c r="E7" i="56"/>
  <c r="E37" i="58"/>
  <c r="G24" i="61" a="1"/>
  <c r="R24" i="61" s="1"/>
  <c r="P6" i="55"/>
  <c r="P6" i="57"/>
  <c r="G29" i="58" a="1"/>
  <c r="I29" i="58" s="1"/>
  <c r="S24" i="61"/>
  <c r="E37" i="59"/>
  <c r="E16" i="58" a="1"/>
  <c r="E20" i="58" s="1"/>
  <c r="M12" i="56"/>
  <c r="V12" i="56"/>
  <c r="P26" i="56"/>
  <c r="G29" i="59" a="1"/>
  <c r="K29" i="59" s="1"/>
  <c r="E16" i="55" a="1"/>
  <c r="E20" i="55" s="1"/>
  <c r="E37" i="57"/>
  <c r="P12" i="56"/>
  <c r="E16" i="57" a="1"/>
  <c r="E23" i="57" s="1"/>
  <c r="P6" i="58"/>
  <c r="E16" i="59" a="1"/>
  <c r="E24" i="59" s="1"/>
  <c r="S12" i="56"/>
  <c r="G29" i="55" a="1"/>
  <c r="O29" i="55" s="1"/>
  <c r="E37" i="55"/>
  <c r="G29" i="57" a="1"/>
  <c r="G29" i="57" s="1"/>
  <c r="G12" i="56"/>
  <c r="J26" i="56"/>
  <c r="P6" i="59"/>
  <c r="E37" i="61"/>
  <c r="J12" i="56"/>
  <c r="R14" i="56" l="1"/>
  <c r="R16" i="56"/>
  <c r="V17" i="56"/>
  <c r="R13" i="56"/>
  <c r="N31" i="59"/>
  <c r="P31" i="59"/>
  <c r="Q31" i="59"/>
  <c r="O31" i="59"/>
  <c r="H31" i="59"/>
  <c r="I31" i="59"/>
  <c r="K31" i="59"/>
  <c r="L31" i="59"/>
  <c r="J31" i="59"/>
  <c r="R31" i="59"/>
  <c r="M31" i="59"/>
  <c r="G31" i="59"/>
  <c r="E20" i="59"/>
  <c r="E16" i="55"/>
  <c r="E25" i="55"/>
  <c r="E19" i="59"/>
  <c r="E19" i="55"/>
  <c r="E22" i="55"/>
  <c r="E18" i="59"/>
  <c r="Q29" i="58"/>
  <c r="E26" i="59"/>
  <c r="E16" i="59"/>
  <c r="E24" i="55"/>
  <c r="E17" i="55"/>
  <c r="N29" i="58"/>
  <c r="E23" i="59"/>
  <c r="E23" i="55"/>
  <c r="E21" i="55"/>
  <c r="E27" i="55"/>
  <c r="O29" i="58"/>
  <c r="Q29" i="57"/>
  <c r="R29" i="57"/>
  <c r="L29" i="57"/>
  <c r="J29" i="55"/>
  <c r="I29" i="55"/>
  <c r="N29" i="55"/>
  <c r="E25" i="59"/>
  <c r="E21" i="59"/>
  <c r="E27" i="59"/>
  <c r="E20" i="57"/>
  <c r="E26" i="57"/>
  <c r="E19" i="57"/>
  <c r="P29" i="59"/>
  <c r="M29" i="59"/>
  <c r="H29" i="59"/>
  <c r="E23" i="58"/>
  <c r="E17" i="58"/>
  <c r="E19" i="58"/>
  <c r="H29" i="58"/>
  <c r="M29" i="58"/>
  <c r="R29" i="58"/>
  <c r="G24" i="61"/>
  <c r="M24" i="61"/>
  <c r="I24" i="61"/>
  <c r="K29" i="57"/>
  <c r="I29" i="57"/>
  <c r="H29" i="57"/>
  <c r="L29" i="55"/>
  <c r="K29" i="55"/>
  <c r="G29" i="55"/>
  <c r="E22" i="59"/>
  <c r="E17" i="59"/>
  <c r="E22" i="57"/>
  <c r="E27" i="57"/>
  <c r="E18" i="57"/>
  <c r="R29" i="59"/>
  <c r="O29" i="59"/>
  <c r="N29" i="59"/>
  <c r="E27" i="58"/>
  <c r="E16" i="58"/>
  <c r="E25" i="58"/>
  <c r="H24" i="61"/>
  <c r="Q24" i="61"/>
  <c r="J24" i="61"/>
  <c r="J29" i="57"/>
  <c r="O29" i="57"/>
  <c r="M29" i="57"/>
  <c r="Q29" i="55"/>
  <c r="M29" i="55"/>
  <c r="H29" i="55"/>
  <c r="E16" i="57"/>
  <c r="E25" i="57"/>
  <c r="E21" i="57"/>
  <c r="E26" i="55"/>
  <c r="E18" i="55"/>
  <c r="L29" i="59"/>
  <c r="J29" i="59"/>
  <c r="G29" i="59"/>
  <c r="E26" i="58"/>
  <c r="E24" i="58"/>
  <c r="E22" i="58"/>
  <c r="L29" i="58"/>
  <c r="P29" i="58"/>
  <c r="J29" i="58"/>
  <c r="N24" i="61"/>
  <c r="K24" i="61"/>
  <c r="O24" i="61"/>
  <c r="P29" i="57"/>
  <c r="N29" i="57"/>
  <c r="R29" i="55"/>
  <c r="P29" i="55"/>
  <c r="E17" i="57"/>
  <c r="E24" i="57"/>
  <c r="I29" i="59"/>
  <c r="Q29" i="59"/>
  <c r="E18" i="58"/>
  <c r="E21" i="58"/>
  <c r="K29" i="58"/>
  <c r="G29" i="58"/>
  <c r="P24" i="61"/>
  <c r="L24" i="61"/>
  <c r="G9" i="61" a="1"/>
  <c r="O9" i="61" s="1"/>
  <c r="O10" i="61" s="1" a="1"/>
  <c r="E6" i="63"/>
  <c r="S9" i="61"/>
  <c r="X17" i="56" l="1"/>
  <c r="R17" i="56"/>
  <c r="S14" i="57"/>
  <c r="M14" i="57"/>
  <c r="O14" i="57"/>
  <c r="R14" i="57"/>
  <c r="S13" i="57"/>
  <c r="S15" i="57" s="1"/>
  <c r="N14" i="57"/>
  <c r="I14" i="57"/>
  <c r="K13" i="57"/>
  <c r="K15" i="57" s="1"/>
  <c r="P13" i="57"/>
  <c r="P15" i="57" s="1"/>
  <c r="M13" i="57"/>
  <c r="M15" i="57" s="1"/>
  <c r="J14" i="57"/>
  <c r="P14" i="57"/>
  <c r="O13" i="57"/>
  <c r="O15" i="57" s="1"/>
  <c r="H13" i="57"/>
  <c r="H15" i="57" s="1"/>
  <c r="G13" i="57"/>
  <c r="G15" i="57" s="1"/>
  <c r="Q14" i="57"/>
  <c r="Q13" i="57"/>
  <c r="Q15" i="57" s="1"/>
  <c r="L13" i="57"/>
  <c r="L15" i="57" s="1"/>
  <c r="L14" i="57"/>
  <c r="G14" i="57"/>
  <c r="K14" i="57"/>
  <c r="J13" i="57"/>
  <c r="J15" i="57" s="1"/>
  <c r="R13" i="57"/>
  <c r="R15" i="57" s="1"/>
  <c r="N13" i="57"/>
  <c r="N15" i="57" s="1"/>
  <c r="H14" i="57"/>
  <c r="I13" i="57"/>
  <c r="I15" i="57" s="1"/>
  <c r="R14" i="58"/>
  <c r="P14" i="58"/>
  <c r="M14" i="58"/>
  <c r="G13" i="58"/>
  <c r="G15" i="58" s="1"/>
  <c r="I13" i="58"/>
  <c r="I15" i="58" s="1"/>
  <c r="S13" i="58"/>
  <c r="S15" i="58" s="1"/>
  <c r="L13" i="58"/>
  <c r="L15" i="58" s="1"/>
  <c r="R13" i="58"/>
  <c r="R15" i="58" s="1"/>
  <c r="P13" i="58"/>
  <c r="P15" i="58" s="1"/>
  <c r="M13" i="58"/>
  <c r="M15" i="58" s="1"/>
  <c r="G14" i="58"/>
  <c r="I14" i="58"/>
  <c r="S14" i="58"/>
  <c r="L14" i="58"/>
  <c r="K13" i="58"/>
  <c r="K15" i="58" s="1"/>
  <c r="H13" i="58"/>
  <c r="H15" i="58" s="1"/>
  <c r="O13" i="58"/>
  <c r="O15" i="58" s="1"/>
  <c r="N14" i="58"/>
  <c r="J14" i="58"/>
  <c r="Q13" i="58"/>
  <c r="Q15" i="58" s="1"/>
  <c r="K14" i="58"/>
  <c r="H14" i="58"/>
  <c r="O14" i="58"/>
  <c r="N13" i="58"/>
  <c r="N15" i="58" s="1"/>
  <c r="J13" i="58"/>
  <c r="J15" i="58" s="1"/>
  <c r="Q14" i="58"/>
  <c r="L13" i="59"/>
  <c r="L15" i="59" s="1"/>
  <c r="H13" i="59"/>
  <c r="H15" i="59" s="1"/>
  <c r="O13" i="59"/>
  <c r="O15" i="59" s="1"/>
  <c r="N14" i="59"/>
  <c r="J13" i="59"/>
  <c r="J15" i="59" s="1"/>
  <c r="P13" i="59"/>
  <c r="P15" i="59" s="1"/>
  <c r="R13" i="59"/>
  <c r="R15" i="59" s="1"/>
  <c r="K13" i="59"/>
  <c r="K15" i="59" s="1"/>
  <c r="M14" i="59"/>
  <c r="I14" i="59"/>
  <c r="S13" i="59"/>
  <c r="S15" i="59" s="1"/>
  <c r="G13" i="59"/>
  <c r="G15" i="59" s="1"/>
  <c r="L14" i="59"/>
  <c r="H14" i="59"/>
  <c r="O14" i="59"/>
  <c r="N13" i="59"/>
  <c r="N15" i="59" s="1"/>
  <c r="J14" i="59"/>
  <c r="P14" i="59"/>
  <c r="R14" i="59"/>
  <c r="K14" i="59"/>
  <c r="M13" i="59"/>
  <c r="M15" i="59" s="1"/>
  <c r="I13" i="59"/>
  <c r="I15" i="59" s="1"/>
  <c r="Q13" i="59"/>
  <c r="Q15" i="59" s="1"/>
  <c r="G14" i="59"/>
  <c r="W14" i="59"/>
  <c r="X14" i="59"/>
  <c r="Q14" i="59"/>
  <c r="W13" i="59"/>
  <c r="W15" i="59" s="1"/>
  <c r="X13" i="59"/>
  <c r="X15" i="59" s="1"/>
  <c r="V14" i="59"/>
  <c r="U14" i="59"/>
  <c r="V13" i="59"/>
  <c r="V15" i="59" s="1"/>
  <c r="U13" i="59"/>
  <c r="U15" i="59" s="1"/>
  <c r="S14" i="59"/>
  <c r="K13" i="55"/>
  <c r="K15" i="55" s="1"/>
  <c r="R13" i="55"/>
  <c r="R15" i="55" s="1"/>
  <c r="L14" i="55"/>
  <c r="G14" i="55"/>
  <c r="P13" i="55"/>
  <c r="P15" i="55" s="1"/>
  <c r="Q13" i="55"/>
  <c r="Q15" i="55" s="1"/>
  <c r="H13" i="55"/>
  <c r="H15" i="55" s="1"/>
  <c r="O13" i="55"/>
  <c r="O15" i="55" s="1"/>
  <c r="J13" i="55"/>
  <c r="J15" i="55" s="1"/>
  <c r="M14" i="55"/>
  <c r="H14" i="55"/>
  <c r="O14" i="55"/>
  <c r="J14" i="55"/>
  <c r="M13" i="55"/>
  <c r="M15" i="55" s="1"/>
  <c r="K14" i="55"/>
  <c r="R14" i="55"/>
  <c r="L13" i="55"/>
  <c r="L15" i="55" s="1"/>
  <c r="G13" i="55"/>
  <c r="G15" i="55" s="1"/>
  <c r="P14" i="55"/>
  <c r="Q14" i="55"/>
  <c r="N13" i="55"/>
  <c r="N15" i="55" s="1"/>
  <c r="I13" i="55"/>
  <c r="I15" i="55" s="1"/>
  <c r="N14" i="55"/>
  <c r="I14" i="55"/>
  <c r="S13" i="55"/>
  <c r="S15" i="55" s="1"/>
  <c r="S14" i="55"/>
  <c r="O14" i="61"/>
  <c r="O19" i="61"/>
  <c r="O17" i="61"/>
  <c r="O15" i="61"/>
  <c r="O12" i="61"/>
  <c r="O18" i="61"/>
  <c r="O11" i="61"/>
  <c r="O13" i="61"/>
  <c r="O10" i="61"/>
  <c r="O16" i="61"/>
  <c r="K34" i="56"/>
  <c r="K28" i="56"/>
  <c r="K27" i="56"/>
  <c r="K30" i="56"/>
  <c r="K31" i="56"/>
  <c r="K29" i="56"/>
  <c r="O25" i="61" a="1"/>
  <c r="V25" i="57"/>
  <c r="E6" i="58"/>
  <c r="U20" i="57"/>
  <c r="W26" i="57"/>
  <c r="E6" i="61"/>
  <c r="V16" i="58"/>
  <c r="E6" i="56"/>
  <c r="E6" i="57"/>
  <c r="U25" i="58"/>
  <c r="U27" i="58"/>
  <c r="U26" i="58"/>
  <c r="U21" i="58"/>
  <c r="U23" i="58"/>
  <c r="U22" i="58"/>
  <c r="U20" i="58"/>
  <c r="U17" i="58"/>
  <c r="U18" i="58"/>
  <c r="U24" i="58"/>
  <c r="V21" i="57"/>
  <c r="V26" i="57"/>
  <c r="V24" i="57"/>
  <c r="V23" i="57"/>
  <c r="V27" i="57"/>
  <c r="V18" i="57"/>
  <c r="V20" i="57"/>
  <c r="V22" i="57"/>
  <c r="V16" i="57"/>
  <c r="X18" i="58"/>
  <c r="X19" i="58"/>
  <c r="X26" i="58"/>
  <c r="X17" i="58"/>
  <c r="X22" i="58"/>
  <c r="X25" i="58"/>
  <c r="X16" i="58"/>
  <c r="X20" i="58"/>
  <c r="X23" i="58"/>
  <c r="X21" i="58"/>
  <c r="X27" i="58"/>
  <c r="X16" i="57"/>
  <c r="X25" i="57"/>
  <c r="X22" i="57"/>
  <c r="X23" i="57"/>
  <c r="X24" i="57"/>
  <c r="X26" i="57"/>
  <c r="X21" i="57"/>
  <c r="X20" i="57"/>
  <c r="X27" i="57"/>
  <c r="X17" i="57"/>
  <c r="X24" i="58"/>
  <c r="V26" i="58"/>
  <c r="V24" i="58"/>
  <c r="V27" i="58"/>
  <c r="V20" i="58"/>
  <c r="V22" i="58"/>
  <c r="V18" i="58"/>
  <c r="V17" i="58"/>
  <c r="V25" i="58"/>
  <c r="V23" i="58"/>
  <c r="V21" i="58"/>
  <c r="W26" i="58"/>
  <c r="W23" i="58"/>
  <c r="W18" i="58"/>
  <c r="W25" i="58"/>
  <c r="W19" i="58"/>
  <c r="W22" i="58"/>
  <c r="W16" i="58"/>
  <c r="W24" i="58"/>
  <c r="W21" i="58"/>
  <c r="W17" i="58"/>
  <c r="W20" i="58"/>
  <c r="W22" i="57"/>
  <c r="W18" i="57"/>
  <c r="W24" i="57"/>
  <c r="W23" i="57"/>
  <c r="W16" i="57"/>
  <c r="W25" i="57"/>
  <c r="W21" i="57"/>
  <c r="W17" i="57"/>
  <c r="W27" i="57"/>
  <c r="W20" i="57"/>
  <c r="U17" i="57"/>
  <c r="U22" i="57"/>
  <c r="U26" i="57"/>
  <c r="U18" i="57"/>
  <c r="U23" i="57"/>
  <c r="U25" i="57"/>
  <c r="U24" i="57"/>
  <c r="U27" i="57"/>
  <c r="U21" i="57"/>
  <c r="V17" i="57"/>
  <c r="W27" i="58"/>
  <c r="X18" i="57"/>
  <c r="E6" i="60"/>
  <c r="E6" i="55"/>
  <c r="H9" i="61"/>
  <c r="H10" i="61" s="1" a="1"/>
  <c r="G9" i="61"/>
  <c r="G10" i="61" s="1" a="1"/>
  <c r="I9" i="61"/>
  <c r="I10" i="61" s="1" a="1"/>
  <c r="R9" i="61"/>
  <c r="R10" i="61" s="1" a="1"/>
  <c r="N9" i="61"/>
  <c r="N10" i="61" s="1" a="1"/>
  <c r="L9" i="61"/>
  <c r="L10" i="61" s="1" a="1"/>
  <c r="J9" i="61"/>
  <c r="J10" i="61" s="1" a="1"/>
  <c r="P9" i="61"/>
  <c r="P10" i="61" s="1" a="1"/>
  <c r="M9" i="61"/>
  <c r="M10" i="61" s="1" a="1"/>
  <c r="K9" i="61"/>
  <c r="K10" i="61" s="1" a="1"/>
  <c r="E6" i="59"/>
  <c r="Q9" i="61"/>
  <c r="Q10" i="61" s="1" a="1"/>
  <c r="P30" i="56"/>
  <c r="E27" i="1" l="1"/>
  <c r="X14" i="58"/>
  <c r="X13" i="58"/>
  <c r="X15" i="58" s="1"/>
  <c r="W14" i="58"/>
  <c r="W13" i="58"/>
  <c r="W15" i="58" s="1"/>
  <c r="X13" i="57"/>
  <c r="X15" i="57" s="1"/>
  <c r="W13" i="57"/>
  <c r="W15" i="57" s="1"/>
  <c r="V13" i="58"/>
  <c r="V15" i="58" s="1"/>
  <c r="V13" i="57"/>
  <c r="V15" i="57" s="1"/>
  <c r="K12" i="61"/>
  <c r="K13" i="61"/>
  <c r="K15" i="61"/>
  <c r="K17" i="61"/>
  <c r="K14" i="61"/>
  <c r="K11" i="61"/>
  <c r="K10" i="61"/>
  <c r="K16" i="61"/>
  <c r="K18" i="61"/>
  <c r="K19" i="61"/>
  <c r="M12" i="61"/>
  <c r="M19" i="61"/>
  <c r="M13" i="61"/>
  <c r="M18" i="61"/>
  <c r="M10" i="61"/>
  <c r="M16" i="61"/>
  <c r="M15" i="61"/>
  <c r="M17" i="61"/>
  <c r="M11" i="61"/>
  <c r="M14" i="61"/>
  <c r="N11" i="61"/>
  <c r="N19" i="61"/>
  <c r="N10" i="61"/>
  <c r="N18" i="61"/>
  <c r="N14" i="61"/>
  <c r="N17" i="61"/>
  <c r="N13" i="61"/>
  <c r="N12" i="61"/>
  <c r="N16" i="61"/>
  <c r="N15" i="61"/>
  <c r="H11" i="61"/>
  <c r="H12" i="61"/>
  <c r="H19" i="61"/>
  <c r="H18" i="61"/>
  <c r="H10" i="61"/>
  <c r="H13" i="61"/>
  <c r="H14" i="61"/>
  <c r="H17" i="61"/>
  <c r="H15" i="61"/>
  <c r="H16" i="61"/>
  <c r="R11" i="61"/>
  <c r="R10" i="61"/>
  <c r="R13" i="61"/>
  <c r="R14" i="61"/>
  <c r="R17" i="61"/>
  <c r="R16" i="61"/>
  <c r="R19" i="61"/>
  <c r="R12" i="61"/>
  <c r="R18" i="61"/>
  <c r="R15" i="61"/>
  <c r="Q10" i="61"/>
  <c r="Q12" i="61"/>
  <c r="Q15" i="61"/>
  <c r="Q14" i="61"/>
  <c r="Q16" i="61"/>
  <c r="Q19" i="61"/>
  <c r="Q18" i="61"/>
  <c r="Q11" i="61"/>
  <c r="Q17" i="61"/>
  <c r="Q13" i="61"/>
  <c r="P19" i="61"/>
  <c r="P18" i="61"/>
  <c r="P17" i="61"/>
  <c r="P15" i="61"/>
  <c r="P14" i="61"/>
  <c r="P11" i="61"/>
  <c r="P12" i="61"/>
  <c r="P10" i="61"/>
  <c r="P13" i="61"/>
  <c r="P16" i="61"/>
  <c r="J11" i="61"/>
  <c r="J17" i="61"/>
  <c r="J15" i="61"/>
  <c r="J18" i="61"/>
  <c r="J19" i="61"/>
  <c r="J16" i="61"/>
  <c r="J12" i="61"/>
  <c r="J10" i="61"/>
  <c r="J14" i="61"/>
  <c r="J13" i="61"/>
  <c r="I17" i="61"/>
  <c r="I15" i="61"/>
  <c r="I16" i="61"/>
  <c r="I10" i="61"/>
  <c r="I12" i="61"/>
  <c r="I11" i="61"/>
  <c r="I13" i="61"/>
  <c r="I14" i="61"/>
  <c r="I18" i="61"/>
  <c r="I19" i="61"/>
  <c r="L15" i="61"/>
  <c r="L12" i="61"/>
  <c r="L17" i="61"/>
  <c r="L18" i="61"/>
  <c r="L10" i="61"/>
  <c r="L11" i="61"/>
  <c r="L14" i="61"/>
  <c r="L13" i="61"/>
  <c r="L19" i="61"/>
  <c r="L16" i="61"/>
  <c r="G11" i="61"/>
  <c r="G13" i="61"/>
  <c r="G10" i="61"/>
  <c r="G17" i="61"/>
  <c r="G15" i="61"/>
  <c r="G12" i="61"/>
  <c r="G19" i="61"/>
  <c r="G14" i="61"/>
  <c r="G18" i="61"/>
  <c r="G16" i="61"/>
  <c r="P25" i="61" a="1"/>
  <c r="R25" i="61" a="1"/>
  <c r="O27" i="61"/>
  <c r="O31" i="61"/>
  <c r="O30" i="61"/>
  <c r="O32" i="61"/>
  <c r="O25" i="61"/>
  <c r="O29" i="61"/>
  <c r="O28" i="61"/>
  <c r="O26" i="61"/>
  <c r="J25" i="61" a="1"/>
  <c r="I25" i="61" a="1"/>
  <c r="T26" i="55"/>
  <c r="T27" i="55"/>
  <c r="T19" i="55"/>
  <c r="K25" i="61" a="1"/>
  <c r="L25" i="61" a="1"/>
  <c r="H38" i="61"/>
  <c r="G25" i="61" a="1"/>
  <c r="Q25" i="61" a="1"/>
  <c r="M25" i="61" a="1"/>
  <c r="N25" i="61" a="1"/>
  <c r="H25" i="61" a="1"/>
  <c r="Z16" i="63"/>
  <c r="U19" i="57"/>
  <c r="U14" i="57" s="1"/>
  <c r="V19" i="57"/>
  <c r="V14" i="57" s="1"/>
  <c r="U16" i="58"/>
  <c r="U13" i="58" s="1"/>
  <c r="U15" i="58" s="1"/>
  <c r="W19" i="57"/>
  <c r="W14" i="57" s="1"/>
  <c r="X19" i="57"/>
  <c r="X14" i="57" s="1"/>
  <c r="S33" i="61"/>
  <c r="U16" i="57"/>
  <c r="U13" i="57" s="1"/>
  <c r="U15" i="57" s="1"/>
  <c r="V19" i="58"/>
  <c r="V14" i="58" s="1"/>
  <c r="S35" i="61"/>
  <c r="U19" i="58"/>
  <c r="U14" i="58" s="1"/>
  <c r="P27" i="56"/>
  <c r="P29" i="56"/>
  <c r="E29" i="1" l="1"/>
  <c r="E28" i="1"/>
  <c r="E30" i="1"/>
  <c r="E26" i="1"/>
  <c r="E25" i="1"/>
  <c r="E24" i="1"/>
  <c r="E20" i="1"/>
  <c r="E23" i="1"/>
  <c r="E22" i="1"/>
  <c r="E19" i="1"/>
  <c r="E21" i="1"/>
  <c r="E21" i="63"/>
  <c r="T24" i="55"/>
  <c r="T20" i="55"/>
  <c r="T21" i="55"/>
  <c r="T22" i="55"/>
  <c r="T23" i="55"/>
  <c r="T25" i="55"/>
  <c r="T17" i="55"/>
  <c r="T18" i="55"/>
  <c r="K27" i="61"/>
  <c r="K31" i="61"/>
  <c r="K26" i="61"/>
  <c r="K28" i="61"/>
  <c r="K32" i="61"/>
  <c r="K29" i="61"/>
  <c r="K30" i="61"/>
  <c r="K25" i="61"/>
  <c r="N29" i="61"/>
  <c r="N32" i="61"/>
  <c r="N30" i="61"/>
  <c r="N28" i="61"/>
  <c r="N26" i="61"/>
  <c r="N31" i="61"/>
  <c r="N27" i="61"/>
  <c r="N25" i="61"/>
  <c r="J26" i="61"/>
  <c r="J32" i="61"/>
  <c r="J29" i="61"/>
  <c r="J25" i="61"/>
  <c r="J30" i="61"/>
  <c r="J27" i="61"/>
  <c r="J31" i="61"/>
  <c r="J28" i="61"/>
  <c r="P27" i="61"/>
  <c r="P26" i="61"/>
  <c r="P25" i="61"/>
  <c r="P28" i="61"/>
  <c r="P31" i="61"/>
  <c r="P29" i="61"/>
  <c r="P30" i="61"/>
  <c r="P32" i="61"/>
  <c r="Q30" i="61"/>
  <c r="Q27" i="61"/>
  <c r="Q28" i="61"/>
  <c r="Q31" i="61"/>
  <c r="Q26" i="61"/>
  <c r="Q29" i="61"/>
  <c r="Q32" i="61"/>
  <c r="Q25" i="61"/>
  <c r="I29" i="61"/>
  <c r="I32" i="61"/>
  <c r="I27" i="61"/>
  <c r="I26" i="61"/>
  <c r="I30" i="61"/>
  <c r="I31" i="61"/>
  <c r="I25" i="61"/>
  <c r="I28" i="61"/>
  <c r="R29" i="61"/>
  <c r="R28" i="61"/>
  <c r="R30" i="61"/>
  <c r="R32" i="61"/>
  <c r="R25" i="61"/>
  <c r="R27" i="61"/>
  <c r="R26" i="61"/>
  <c r="R31" i="61"/>
  <c r="H31" i="61"/>
  <c r="H30" i="61"/>
  <c r="H26" i="61"/>
  <c r="H28" i="61"/>
  <c r="H29" i="61"/>
  <c r="H27" i="61"/>
  <c r="H32" i="61"/>
  <c r="H25" i="61"/>
  <c r="M27" i="61"/>
  <c r="M29" i="61"/>
  <c r="M25" i="61"/>
  <c r="M26" i="61"/>
  <c r="M30" i="61"/>
  <c r="M31" i="61"/>
  <c r="M28" i="61"/>
  <c r="M32" i="61"/>
  <c r="G32" i="61"/>
  <c r="G31" i="61"/>
  <c r="G29" i="61"/>
  <c r="G30" i="61"/>
  <c r="G28" i="61"/>
  <c r="G26" i="61"/>
  <c r="G27" i="61"/>
  <c r="G25" i="61"/>
  <c r="L32" i="61"/>
  <c r="L27" i="61"/>
  <c r="L28" i="61"/>
  <c r="L25" i="61"/>
  <c r="L31" i="61"/>
  <c r="L29" i="61"/>
  <c r="L30" i="61"/>
  <c r="L26" i="61"/>
  <c r="O9" i="63"/>
  <c r="N34" i="57"/>
  <c r="N35" i="57" s="1"/>
  <c r="O33" i="58"/>
  <c r="U24" i="55"/>
  <c r="U27" i="55"/>
  <c r="W19" i="55"/>
  <c r="X23" i="55"/>
  <c r="U17" i="55"/>
  <c r="U19" i="55"/>
  <c r="N33" i="57"/>
  <c r="W20" i="55"/>
  <c r="X17" i="55"/>
  <c r="X16" i="55"/>
  <c r="U26" i="55"/>
  <c r="W24" i="55"/>
  <c r="V18" i="55"/>
  <c r="V16" i="55"/>
  <c r="W16" i="55"/>
  <c r="U20" i="55"/>
  <c r="W27" i="55"/>
  <c r="W26" i="55"/>
  <c r="V22" i="55"/>
  <c r="X25" i="55"/>
  <c r="W18" i="55"/>
  <c r="X18" i="55"/>
  <c r="V25" i="55"/>
  <c r="V26" i="55"/>
  <c r="X21" i="55"/>
  <c r="X24" i="55"/>
  <c r="V24" i="55"/>
  <c r="W21" i="55"/>
  <c r="X27" i="55"/>
  <c r="U25" i="55"/>
  <c r="X26" i="55"/>
  <c r="U23" i="55"/>
  <c r="U22" i="55"/>
  <c r="U21" i="55"/>
  <c r="W23" i="55"/>
  <c r="X20" i="55"/>
  <c r="V27" i="55"/>
  <c r="W17" i="55"/>
  <c r="V23" i="55"/>
  <c r="X22" i="55"/>
  <c r="U18" i="55"/>
  <c r="W22" i="55"/>
  <c r="W25" i="55"/>
  <c r="V21" i="55"/>
  <c r="V17" i="55"/>
  <c r="U16" i="55"/>
  <c r="F21" i="58"/>
  <c r="F22" i="58"/>
  <c r="F30" i="58"/>
  <c r="F17" i="58"/>
  <c r="F20" i="58"/>
  <c r="F18" i="58"/>
  <c r="F26" i="58"/>
  <c r="F23" i="58"/>
  <c r="F24" i="58"/>
  <c r="F19" i="58"/>
  <c r="F25" i="58"/>
  <c r="F27" i="58"/>
  <c r="F18" i="57"/>
  <c r="F26" i="57"/>
  <c r="F25" i="57"/>
  <c r="F30" i="57"/>
  <c r="F23" i="57"/>
  <c r="F19" i="57"/>
  <c r="F22" i="57"/>
  <c r="F24" i="57"/>
  <c r="F17" i="57"/>
  <c r="F20" i="57"/>
  <c r="F21" i="57"/>
  <c r="F27" i="57"/>
  <c r="V20" i="55"/>
  <c r="V19" i="55"/>
  <c r="X19" i="55"/>
  <c r="X14" i="55" l="1"/>
  <c r="X13" i="55"/>
  <c r="X15" i="55" s="1"/>
  <c r="U14" i="55"/>
  <c r="U13" i="55"/>
  <c r="U15" i="55" s="1"/>
  <c r="W14" i="55"/>
  <c r="W13" i="55"/>
  <c r="W15" i="55" s="1"/>
  <c r="V14" i="55"/>
  <c r="V13" i="55"/>
  <c r="V15" i="55" s="1"/>
  <c r="Q34" i="57"/>
  <c r="Q35" i="57" s="1"/>
  <c r="M33" i="57"/>
  <c r="J33" i="59"/>
  <c r="M34" i="55"/>
  <c r="M35" i="55" s="1"/>
  <c r="O34" i="59"/>
  <c r="O35" i="59" s="1"/>
  <c r="P33" i="57"/>
  <c r="R34" i="58"/>
  <c r="R35" i="58" s="1"/>
  <c r="N33" i="55"/>
  <c r="O33" i="55"/>
  <c r="S32" i="61"/>
  <c r="T32" i="61" s="1"/>
  <c r="U32" i="61" s="1"/>
  <c r="S29" i="61"/>
  <c r="S26" i="61"/>
  <c r="P33" i="58"/>
  <c r="O34" i="57"/>
  <c r="O35" i="57" s="1"/>
  <c r="S28" i="61"/>
  <c r="S25" i="61"/>
  <c r="S31" i="61"/>
  <c r="S27" i="61"/>
  <c r="S30" i="61"/>
  <c r="S12" i="61"/>
  <c r="S10" i="61"/>
  <c r="S14" i="61"/>
  <c r="S18" i="61"/>
  <c r="S19" i="61"/>
  <c r="T19" i="61" s="1"/>
  <c r="U19" i="61" s="1"/>
  <c r="S16" i="61"/>
  <c r="S15" i="61"/>
  <c r="S11" i="61"/>
  <c r="S13" i="61"/>
  <c r="S17" i="61"/>
  <c r="F26" i="55"/>
  <c r="F27" i="55"/>
  <c r="R33" i="57"/>
  <c r="K33" i="58"/>
  <c r="K34" i="57"/>
  <c r="K35" i="57" s="1"/>
  <c r="K33" i="57"/>
  <c r="O33" i="57"/>
  <c r="J34" i="57"/>
  <c r="J35" i="57" s="1"/>
  <c r="H33" i="57"/>
  <c r="J33" i="57"/>
  <c r="H34" i="57"/>
  <c r="H35" i="57" s="1"/>
  <c r="M34" i="57"/>
  <c r="M35" i="57" s="1"/>
  <c r="K33" i="55"/>
  <c r="L33" i="58"/>
  <c r="I33" i="58"/>
  <c r="L33" i="55"/>
  <c r="M34" i="59"/>
  <c r="M35" i="59" s="1"/>
  <c r="J33" i="58"/>
  <c r="R33" i="58"/>
  <c r="J33" i="55"/>
  <c r="K34" i="58"/>
  <c r="K35" i="58" s="1"/>
  <c r="R34" i="57"/>
  <c r="R35" i="57" s="1"/>
  <c r="P34" i="57"/>
  <c r="P35" i="57" s="1"/>
  <c r="Q34" i="59"/>
  <c r="Q35" i="59" s="1"/>
  <c r="N34" i="59"/>
  <c r="N35" i="59" s="1"/>
  <c r="P34" i="59"/>
  <c r="P35" i="59" s="1"/>
  <c r="K34" i="59"/>
  <c r="K35" i="59" s="1"/>
  <c r="N33" i="59"/>
  <c r="P33" i="55"/>
  <c r="H34" i="55"/>
  <c r="H35" i="55" s="1"/>
  <c r="I33" i="55"/>
  <c r="L33" i="59"/>
  <c r="R34" i="59"/>
  <c r="R35" i="59" s="1"/>
  <c r="H33" i="55"/>
  <c r="Q33" i="59"/>
  <c r="P34" i="55"/>
  <c r="P35" i="55" s="1"/>
  <c r="Q33" i="55"/>
  <c r="J34" i="55"/>
  <c r="J35" i="55" s="1"/>
  <c r="K34" i="55"/>
  <c r="K35" i="55" s="1"/>
  <c r="N34" i="55"/>
  <c r="N35" i="55" s="1"/>
  <c r="H33" i="58"/>
  <c r="I34" i="55"/>
  <c r="I35" i="55" s="1"/>
  <c r="J34" i="59"/>
  <c r="J35" i="59" s="1"/>
  <c r="O34" i="55"/>
  <c r="O35" i="55" s="1"/>
  <c r="K33" i="59"/>
  <c r="L34" i="57"/>
  <c r="L35" i="57" s="1"/>
  <c r="P34" i="58"/>
  <c r="P35" i="58" s="1"/>
  <c r="N34" i="58"/>
  <c r="N35" i="58" s="1"/>
  <c r="J34" i="58"/>
  <c r="J35" i="58" s="1"/>
  <c r="O34" i="58"/>
  <c r="O35" i="58" s="1"/>
  <c r="R34" i="55"/>
  <c r="R35" i="55" s="1"/>
  <c r="L34" i="58"/>
  <c r="L35" i="58" s="1"/>
  <c r="I34" i="59"/>
  <c r="I35" i="59" s="1"/>
  <c r="Q34" i="58"/>
  <c r="Q35" i="58" s="1"/>
  <c r="I34" i="58"/>
  <c r="I35" i="58" s="1"/>
  <c r="H34" i="58"/>
  <c r="H35" i="58" s="1"/>
  <c r="Q33" i="58"/>
  <c r="H34" i="59"/>
  <c r="H35" i="59" s="1"/>
  <c r="M33" i="58"/>
  <c r="I33" i="57"/>
  <c r="I34" i="57"/>
  <c r="I35" i="57" s="1"/>
  <c r="I33" i="59"/>
  <c r="Q34" i="55"/>
  <c r="Q35" i="55" s="1"/>
  <c r="M33" i="55"/>
  <c r="Q33" i="57"/>
  <c r="N33" i="58"/>
  <c r="M34" i="58"/>
  <c r="M35" i="58" s="1"/>
  <c r="L34" i="55"/>
  <c r="L35" i="55" s="1"/>
  <c r="O33" i="59"/>
  <c r="M33" i="59"/>
  <c r="R33" i="59"/>
  <c r="L34" i="59"/>
  <c r="L35" i="59" s="1"/>
  <c r="R33" i="55"/>
  <c r="H33" i="59"/>
  <c r="L33" i="57"/>
  <c r="P33" i="59"/>
  <c r="T27" i="61" l="1"/>
  <c r="U27" i="61" s="1"/>
  <c r="T25" i="61"/>
  <c r="U25" i="61" s="1"/>
  <c r="T28" i="61"/>
  <c r="U28" i="61" s="1"/>
  <c r="T11" i="61"/>
  <c r="U11" i="61" s="1"/>
  <c r="T26" i="61"/>
  <c r="U26" i="61" s="1"/>
  <c r="T30" i="61"/>
  <c r="U30" i="61" s="1"/>
  <c r="T29" i="61"/>
  <c r="U29" i="61" s="1"/>
  <c r="T12" i="61"/>
  <c r="U12" i="61" s="1"/>
  <c r="T13" i="61"/>
  <c r="U13" i="61" s="1"/>
  <c r="T31" i="61"/>
  <c r="U31" i="61" s="1"/>
  <c r="T16" i="61"/>
  <c r="U16" i="61" s="1"/>
  <c r="T10" i="61"/>
  <c r="U10" i="61" s="1"/>
  <c r="T17" i="61"/>
  <c r="U17" i="61" s="1"/>
  <c r="T15" i="61"/>
  <c r="U15" i="61" s="1"/>
  <c r="T14" i="61"/>
  <c r="U14" i="61" s="1"/>
  <c r="T18" i="61"/>
  <c r="U18" i="61" s="1"/>
  <c r="F15" i="61"/>
  <c r="F19" i="61"/>
  <c r="F12" i="61"/>
  <c r="F16" i="61"/>
  <c r="F11" i="61"/>
  <c r="F13" i="61"/>
  <c r="F17" i="61"/>
  <c r="F14" i="61"/>
  <c r="F18" i="61"/>
  <c r="P31" i="56"/>
  <c r="P28" i="56"/>
  <c r="P32" i="56" l="1"/>
  <c r="J32" i="56"/>
  <c r="J35" i="56" s="1"/>
  <c r="J33" i="56" l="1"/>
  <c r="P34" i="56"/>
  <c r="P33" i="56" l="1"/>
  <c r="P35" i="56" l="1"/>
  <c r="K12" i="56"/>
  <c r="Q29" i="56"/>
  <c r="T12" i="56"/>
  <c r="P6" i="56"/>
  <c r="Q34" i="56"/>
  <c r="Q27" i="56"/>
  <c r="Q26" i="56"/>
  <c r="N12" i="56"/>
  <c r="Q12" i="56"/>
  <c r="Q28" i="56"/>
  <c r="Q31" i="56"/>
  <c r="H12" i="56"/>
  <c r="Q30" i="56"/>
  <c r="K26" i="56"/>
  <c r="W12" i="56"/>
  <c r="L31" i="56" l="1"/>
  <c r="I17" i="56"/>
  <c r="X18" i="56"/>
  <c r="R31" i="56"/>
  <c r="R27" i="56"/>
  <c r="I16" i="56"/>
  <c r="R34" i="56"/>
  <c r="R30" i="56"/>
  <c r="L29" i="56"/>
  <c r="L34" i="56"/>
  <c r="L30" i="56"/>
  <c r="X15" i="56"/>
  <c r="L28" i="56"/>
  <c r="L27" i="56"/>
  <c r="K32" i="56"/>
  <c r="K35" i="56" s="1"/>
  <c r="I14" i="56"/>
  <c r="R29" i="56"/>
  <c r="Q32" i="56"/>
  <c r="R28" i="56"/>
  <c r="Q35" i="56" l="1"/>
  <c r="R32" i="56"/>
  <c r="L32" i="56"/>
  <c r="K33" i="56"/>
  <c r="L33" i="56" s="1"/>
  <c r="Q33" i="56"/>
  <c r="R33" i="56" s="1"/>
  <c r="F13" i="56" l="1"/>
</calcChain>
</file>

<file path=xl/sharedStrings.xml><?xml version="1.0" encoding="utf-8"?>
<sst xmlns="http://schemas.openxmlformats.org/spreadsheetml/2006/main" count="6655" uniqueCount="250">
  <si>
    <t>Global Tourism Solutions (UK) Ltd</t>
  </si>
  <si>
    <t>Company:</t>
  </si>
  <si>
    <t>Product:</t>
  </si>
  <si>
    <t>STEAM</t>
  </si>
  <si>
    <t>Report Type:</t>
  </si>
  <si>
    <t>Authority:</t>
  </si>
  <si>
    <t>Sub-Zone:</t>
  </si>
  <si>
    <t>Prepared by:</t>
  </si>
  <si>
    <t>Date of Issue:</t>
  </si>
  <si>
    <t>Title1:</t>
  </si>
  <si>
    <t>Title2:</t>
  </si>
  <si>
    <t>Footer1:</t>
  </si>
  <si>
    <t>Footer2:</t>
  </si>
  <si>
    <t>These are Created from the text in the Area Definition Table</t>
  </si>
  <si>
    <t>Year No</t>
  </si>
  <si>
    <t>YEAR</t>
  </si>
  <si>
    <t>Select Year</t>
  </si>
  <si>
    <t>Economic Impact</t>
  </si>
  <si>
    <t>SFR</t>
  </si>
  <si>
    <t>Population</t>
  </si>
  <si>
    <t>Employment</t>
  </si>
  <si>
    <t>Vehicle Days</t>
  </si>
  <si>
    <t>Vehicle Numbers</t>
  </si>
  <si>
    <t>Accommodation</t>
  </si>
  <si>
    <t>MEASURE</t>
  </si>
  <si>
    <t>SUB-MEASURE</t>
  </si>
  <si>
    <t>JAN</t>
  </si>
  <si>
    <t>FEB</t>
  </si>
  <si>
    <t>MAR</t>
  </si>
  <si>
    <t>APR</t>
  </si>
  <si>
    <t>MAY</t>
  </si>
  <si>
    <t>JUN</t>
  </si>
  <si>
    <t>JUL</t>
  </si>
  <si>
    <t>AUG</t>
  </si>
  <si>
    <t>SEP</t>
  </si>
  <si>
    <t>OCT</t>
  </si>
  <si>
    <t>NOV</t>
  </si>
  <si>
    <t>DEC</t>
  </si>
  <si>
    <t>TOTAL</t>
  </si>
  <si>
    <t>LOOKUP</t>
  </si>
  <si>
    <t>Highlight %</t>
  </si>
  <si>
    <t>YES</t>
  </si>
  <si>
    <t>NO</t>
  </si>
  <si>
    <t>Serviced Accommodation</t>
  </si>
  <si>
    <t>Direct Expenditure</t>
  </si>
  <si>
    <t>Indirect Expenditure</t>
  </si>
  <si>
    <t>Direct Revenue</t>
  </si>
  <si>
    <t>VAT</t>
  </si>
  <si>
    <t>Non-Serviced Accommodation</t>
  </si>
  <si>
    <t>Food &amp; Drink</t>
  </si>
  <si>
    <t>Recreation</t>
  </si>
  <si>
    <t>Shopping</t>
  </si>
  <si>
    <t>Transport</t>
  </si>
  <si>
    <t>Indirect Employment</t>
  </si>
  <si>
    <t>Total</t>
  </si>
  <si>
    <t>Direct Employment</t>
  </si>
  <si>
    <t>UNITS</t>
  </si>
  <si>
    <t>£000s</t>
  </si>
  <si>
    <t>Bed Spaces</t>
  </si>
  <si>
    <t>FTEs</t>
  </si>
  <si>
    <t>Persons</t>
  </si>
  <si>
    <t>000s</t>
  </si>
  <si>
    <t>Indexation Applied</t>
  </si>
  <si>
    <t>Text for Drop-Down</t>
  </si>
  <si>
    <t>YNI</t>
  </si>
  <si>
    <t>Report Status:</t>
  </si>
  <si>
    <t>Draft</t>
  </si>
  <si>
    <t>OPTIONS:</t>
  </si>
  <si>
    <t>Final</t>
  </si>
  <si>
    <t>Text</t>
  </si>
  <si>
    <t>Years</t>
  </si>
  <si>
    <t>Day Visitor</t>
  </si>
  <si>
    <t>VISITOR TYPES</t>
  </si>
  <si>
    <t>the Average for</t>
  </si>
  <si>
    <t>Total Employment</t>
  </si>
  <si>
    <t>Total Economic Impact</t>
  </si>
  <si>
    <t>User Selected</t>
  </si>
  <si>
    <t>Series Name for Chart 2</t>
  </si>
  <si>
    <t>Percentage Change from Baseline</t>
  </si>
  <si>
    <t>Measure</t>
  </si>
  <si>
    <t>REPORT DEFINITION</t>
  </si>
  <si>
    <t>YEARS IN THIS REPORT</t>
  </si>
  <si>
    <t>COMPANY DETAILS</t>
  </si>
  <si>
    <t>Choices</t>
  </si>
  <si>
    <t>Q1: JAN to MAR</t>
  </si>
  <si>
    <t>Q2: APR to JUN</t>
  </si>
  <si>
    <t>Q3: JUL to SEP</t>
  </si>
  <si>
    <t>Q4: OCT to DEC</t>
  </si>
  <si>
    <t>All Year</t>
  </si>
  <si>
    <t>TOTAL DIRECT</t>
  </si>
  <si>
    <t>KEY</t>
  </si>
  <si>
    <t>Q1</t>
  </si>
  <si>
    <t>Q2</t>
  </si>
  <si>
    <t>Q3</t>
  </si>
  <si>
    <t>Q4</t>
  </si>
  <si>
    <t>All Staying Visitors</t>
  </si>
  <si>
    <t>All Visitor Types</t>
  </si>
  <si>
    <t>Day Visitors</t>
  </si>
  <si>
    <t>Grove House</t>
  </si>
  <si>
    <t>9D Throxenby Lane</t>
  </si>
  <si>
    <t>Scarborough</t>
  </si>
  <si>
    <t>North Yorkshire</t>
  </si>
  <si>
    <t>YO12 5HN</t>
  </si>
  <si>
    <t>AREA CODE:</t>
  </si>
  <si>
    <t>IND</t>
  </si>
  <si>
    <t>Comparative Headlines</t>
  </si>
  <si>
    <t>Sectoral Analysis</t>
  </si>
  <si>
    <t>Highlight Text &lt;</t>
  </si>
  <si>
    <t>Highlight Text &gt;</t>
  </si>
  <si>
    <t>Highlight Text =</t>
  </si>
  <si>
    <t>Serviced</t>
  </si>
  <si>
    <t>Non-Serviced</t>
  </si>
  <si>
    <t>Staying in Paid Accommodation</t>
  </si>
  <si>
    <t>+/- %</t>
  </si>
  <si>
    <t>Sectors</t>
  </si>
  <si>
    <t>Indirect</t>
  </si>
  <si>
    <t>Average Annual Change</t>
  </si>
  <si>
    <t>%</t>
  </si>
  <si>
    <t>% Change</t>
  </si>
  <si>
    <t>COMPARISON YEAR</t>
  </si>
  <si>
    <t>SHARE OF MARKET</t>
  </si>
  <si>
    <t>Share of Total</t>
  </si>
  <si>
    <t>Annual Change in Share</t>
  </si>
  <si>
    <t>CALENDAR YEAR</t>
  </si>
  <si>
    <t>QUARTER</t>
  </si>
  <si>
    <t>FOCUS YEAR</t>
  </si>
  <si>
    <t>KEY ECONOMIC IMPACT MEASURES</t>
  </si>
  <si>
    <t>CLICK THE SECTION HEADINGS OR EXAMPLE IMAGES TO NAVIGATE TO EACH REPORT SECTION</t>
  </si>
  <si>
    <t>FURTHER ANALYSES AND OUTPUTS</t>
  </si>
  <si>
    <t>REPORT NAVIGATION</t>
  </si>
  <si>
    <t>GUIDANCE</t>
  </si>
  <si>
    <t>SUPPLEMENTS</t>
  </si>
  <si>
    <t>MONTH AND QUARTER</t>
  </si>
  <si>
    <t>DATA</t>
  </si>
  <si>
    <t>CHART YEAR</t>
  </si>
  <si>
    <t>Key Measures</t>
  </si>
  <si>
    <t>ALOOKUP</t>
  </si>
  <si>
    <t>AREA</t>
  </si>
  <si>
    <t>Sectoral Distribution of Employment - FTEs</t>
  </si>
  <si>
    <t>Staying with Friends and Relatives (SFR)</t>
  </si>
  <si>
    <t>Staying Visitor</t>
  </si>
  <si>
    <t>CONTENTS</t>
  </si>
  <si>
    <t>SECTOR / YEAR</t>
  </si>
  <si>
    <t>Economic Impact £m</t>
  </si>
  <si>
    <t>£M</t>
  </si>
  <si>
    <t>M</t>
  </si>
  <si>
    <t>Avg Ann. Change in Share</t>
  </si>
  <si>
    <t>Telephone: 01723 506310</t>
  </si>
  <si>
    <t>Email: david.james@gtsuk.net</t>
  </si>
  <si>
    <t>Establishments</t>
  </si>
  <si>
    <t>Accommodation - Establishments</t>
  </si>
  <si>
    <t>Serviced Accommodation 1</t>
  </si>
  <si>
    <t>Serviced Accommodation 2</t>
  </si>
  <si>
    <t>Serviced Accommodation 3</t>
  </si>
  <si>
    <t>Serviced Accommodation 4</t>
  </si>
  <si>
    <t>Serviced Accommodation 5</t>
  </si>
  <si>
    <t>Non-Serviced Accommodation 1</t>
  </si>
  <si>
    <t>Non-Serviced Accommodation 2</t>
  </si>
  <si>
    <t>Non-Serviced Accommodation 3</t>
  </si>
  <si>
    <t>Non-Serviced Accommodation 4</t>
  </si>
  <si>
    <t>Non-Serviced Accommodation 5</t>
  </si>
  <si>
    <t>Serviced Accommodation Total</t>
  </si>
  <si>
    <t>Non-Serviced Accommodation Total</t>
  </si>
  <si>
    <t>All Accommodation Types</t>
  </si>
  <si>
    <t>Accommodation - Bed Spaces</t>
  </si>
  <si>
    <t>USER GUIDE</t>
  </si>
  <si>
    <t>Visitor Types:</t>
  </si>
  <si>
    <t>Direct and Total Employment</t>
  </si>
  <si>
    <t>Sections:</t>
  </si>
  <si>
    <t>Indexation:</t>
  </si>
  <si>
    <t>Demonstration</t>
  </si>
  <si>
    <t>Visitor Days</t>
  </si>
  <si>
    <t>Visitor Numbers</t>
  </si>
  <si>
    <t>STAYING VISITORS</t>
  </si>
  <si>
    <t>Website: www.globaltourismsolutions.co.uk</t>
  </si>
  <si>
    <t>Est.</t>
  </si>
  <si>
    <t>Beds</t>
  </si>
  <si>
    <t>All Paid Accommodation Total</t>
  </si>
  <si>
    <t>Serviced Accommodation Share of Total</t>
  </si>
  <si>
    <t>Non-Serviced Accommodation Share of Total</t>
  </si>
  <si>
    <r>
      <t>"Linear" =</t>
    </r>
    <r>
      <rPr>
        <i/>
        <sz val="8"/>
        <rFont val="Calibri"/>
        <family val="2"/>
        <scheme val="minor"/>
      </rPr>
      <t xml:space="preserve"> Linear Trendline</t>
    </r>
  </si>
  <si>
    <t>Email: david.c@gtsuk.net</t>
  </si>
  <si>
    <t>Fife</t>
  </si>
  <si>
    <t>Telephone: 0778 858 3238</t>
  </si>
  <si>
    <t>Email: richard.m@gtsuk.co.uk</t>
  </si>
  <si>
    <t>SA9 2XH</t>
  </si>
  <si>
    <t>Telephone: 0798 445 5388</t>
  </si>
  <si>
    <t>Laneside House</t>
  </si>
  <si>
    <t>Hackthorpe</t>
  </si>
  <si>
    <t>Penrith</t>
  </si>
  <si>
    <t>Cumbria</t>
  </si>
  <si>
    <t>CA10 2HX</t>
  </si>
  <si>
    <t>Telephone: 01931 712859</t>
  </si>
  <si>
    <t>DJ</t>
  </si>
  <si>
    <t>DC</t>
  </si>
  <si>
    <t>CJ</t>
  </si>
  <si>
    <t>RM</t>
  </si>
  <si>
    <t xml:space="preserve">71 Heol Gwys </t>
  </si>
  <si>
    <t xml:space="preserve">Upper Cwmtwrch </t>
  </si>
  <si>
    <t xml:space="preserve">Swansea </t>
  </si>
  <si>
    <t>2 Union Place</t>
  </si>
  <si>
    <t>Anstruther</t>
  </si>
  <si>
    <t>KY10 3HQ</t>
  </si>
  <si>
    <t>Cathy James</t>
  </si>
  <si>
    <t>NORTH WALES</t>
  </si>
  <si>
    <t>NWL</t>
  </si>
  <si>
    <t>Email: cathryn.j@gtsuk.co.uk</t>
  </si>
  <si>
    <t>Z:\STM\WLS\NWL\ALLNWL\11\Out.SUMNWL1112.xls</t>
  </si>
  <si>
    <t>Z:\STM\WLS\NWL\ALLNWL\12\Out.SUMNWL12r.xls</t>
  </si>
  <si>
    <t>Z:\STM\WLS\NWL\ALLNWL\13\Out.SUMNWL13r.xls</t>
  </si>
  <si>
    <t>Z:\STM\WLS\NWL\ALLNWL\14\Out.SUMNWL14r.xls</t>
  </si>
  <si>
    <t>Z:\STM\WLS\NWL\ALLNWL\15\Out.SUMNWL15.xls</t>
  </si>
  <si>
    <t>Z:\STM\WLS\NWL\ALLNWL\16\Out.SUMNWL16r.xls</t>
  </si>
  <si>
    <t>Z:\STM\WLS\NWL\ALLNWL\17\AllnwlpvRR17rr.xls</t>
  </si>
  <si>
    <t>Z:\STM\WLS\NWL\ALLNWL\18\AllnwlpvRR18r.xls</t>
  </si>
  <si>
    <t>Z:\STM\WLS\NWL\ALLNWL\19\AllnwlpvRR19.xls</t>
  </si>
  <si>
    <t>Z:\STM\WLS\NWL\ALLNWL\20\AllnwlpvRR20.xls</t>
  </si>
  <si>
    <t>Z:\STM\WLS\NWL\ALLNWL\21\AllnwlpvRR21.xls</t>
  </si>
  <si>
    <t>Z:\STM\WLS\NWL\ALLNWL\22\AllnwlpvRR22.xls</t>
  </si>
  <si>
    <t>2011</t>
  </si>
  <si>
    <t>North Wales</t>
  </si>
  <si>
    <t>3</t>
  </si>
  <si>
    <t>4</t>
  </si>
  <si>
    <t/>
  </si>
  <si>
    <t>1</t>
  </si>
  <si>
    <t xml:space="preserve">Indirect Expenditure </t>
  </si>
  <si>
    <t xml:space="preserve">Total </t>
  </si>
  <si>
    <t xml:space="preserve">Direct Revenue </t>
  </si>
  <si>
    <t xml:space="preserve">Serviced Accommodation </t>
  </si>
  <si>
    <t>2012</t>
  </si>
  <si>
    <t>2013</t>
  </si>
  <si>
    <t>2014</t>
  </si>
  <si>
    <t>2015</t>
  </si>
  <si>
    <t>2016</t>
  </si>
  <si>
    <t>2017</t>
  </si>
  <si>
    <t>+50 room hotels</t>
  </si>
  <si>
    <t>10-50 room hotels</t>
  </si>
  <si>
    <t>&lt;10 room hotels/others</t>
  </si>
  <si>
    <t>Serviced Total</t>
  </si>
  <si>
    <t>Self catering</t>
  </si>
  <si>
    <t>Static caravans/chalets</t>
  </si>
  <si>
    <t>Touring caravans/camping</t>
  </si>
  <si>
    <t>Not-for-hire static</t>
  </si>
  <si>
    <t xml:space="preserve">Non-Serviced Accommodation Total </t>
  </si>
  <si>
    <t>2018</t>
  </si>
  <si>
    <t>2019</t>
  </si>
  <si>
    <t>2020</t>
  </si>
  <si>
    <t>2021</t>
  </si>
  <si>
    <t>2022</t>
  </si>
  <si>
    <t>Direct and Total Employment by Month, Year and Visitor Type for the Period 2011 to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</si>
</sst>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0.0%"/>
    <numFmt numFmtId="166" formatCode="#,##0;[Red]\-#,##0;;@"/>
    <numFmt numFmtId="167" formatCode="###0;[Red]\-###0;;@"/>
    <numFmt numFmtId="168" formatCode="#,##0.0;[Red]\-#,##0.0;;@"/>
    <numFmt numFmtId="169" formatCode="0.000"/>
    <numFmt numFmtId="170" formatCode="#,##0.0"/>
    <numFmt numFmtId="171" formatCode="#,##0.0,"/>
    <numFmt numFmtId="172" formatCode="#,##0.00,"/>
    <numFmt numFmtId="173" formatCode=";;;"/>
    <numFmt numFmtId="174" formatCode="#,##0.000,,"/>
    <numFmt numFmtId="175" formatCode="_-* #,##0_-;\-* #,##0_-;_-* &quot;-&quot;??_-;_-@_-"/>
    <numFmt numFmtId="176" formatCode="0.0"/>
    <numFmt numFmtId="177" formatCode="dd\-mmm\-yyyy"/>
    <numFmt numFmtId="178" formatCode="\+#,##0;[Red]\-#,##0;#,##0"/>
  </numFmts>
  <fonts count="60" x14ac:knownFonts="1">
    <font>
      <sz val="10"/>
      <color theme="1"/>
      <name val="Calibri"/>
      <family val="2"/>
    </font>
    <font>
      <sz val="11"/>
      <color theme="1"/>
      <name val="Calibri"/>
      <family val="2"/>
      <scheme val="minor"/>
    </font>
    <font>
      <b/>
      <sz val="10"/>
      <color theme="1"/>
      <name val="Calibri"/>
      <family val="2"/>
    </font>
    <font>
      <b/>
      <sz val="12"/>
      <color theme="0"/>
      <name val="Calibri"/>
      <family val="2"/>
    </font>
    <font>
      <b/>
      <i/>
      <sz val="10"/>
      <name val="Calibri"/>
      <family val="2"/>
    </font>
    <font>
      <i/>
      <sz val="10"/>
      <color theme="0"/>
      <name val="Calibri"/>
      <family val="2"/>
    </font>
    <font>
      <sz val="10"/>
      <color theme="1"/>
      <name val="Calibri"/>
      <family val="2"/>
    </font>
    <font>
      <sz val="10"/>
      <color theme="0"/>
      <name val="Calibri"/>
      <family val="2"/>
    </font>
    <font>
      <sz val="10"/>
      <name val="Calibri"/>
      <family val="2"/>
    </font>
    <font>
      <sz val="10"/>
      <color theme="4" tint="-0.499984740745262"/>
      <name val="Calibri"/>
      <family val="2"/>
    </font>
    <font>
      <sz val="10"/>
      <name val="Arial"/>
      <family val="2"/>
    </font>
    <font>
      <b/>
      <sz val="12"/>
      <name val="Arial"/>
      <family val="2"/>
    </font>
    <font>
      <b/>
      <sz val="10"/>
      <name val="Calibri"/>
      <family val="2"/>
    </font>
    <font>
      <b/>
      <sz val="14"/>
      <color theme="0"/>
      <name val="Calibri"/>
      <family val="2"/>
    </font>
    <font>
      <sz val="16"/>
      <color theme="1"/>
      <name val="Calibri"/>
      <family val="2"/>
    </font>
    <font>
      <b/>
      <i/>
      <sz val="10"/>
      <color theme="1"/>
      <name val="Calibri"/>
      <family val="2"/>
    </font>
    <font>
      <sz val="9"/>
      <color theme="1"/>
      <name val="Calibri"/>
      <family val="2"/>
    </font>
    <font>
      <sz val="9"/>
      <name val="Calibri"/>
      <family val="2"/>
    </font>
    <font>
      <b/>
      <i/>
      <sz val="11"/>
      <name val="Calibri"/>
      <family val="2"/>
    </font>
    <font>
      <sz val="12"/>
      <color theme="0"/>
      <name val="Calibri"/>
      <family val="2"/>
    </font>
    <font>
      <b/>
      <sz val="20"/>
      <color theme="4" tint="-0.499984740745262"/>
      <name val="Calibri"/>
      <family val="2"/>
    </font>
    <font>
      <sz val="8"/>
      <color theme="1"/>
      <name val="Calibri"/>
      <family val="2"/>
      <scheme val="minor"/>
    </font>
    <font>
      <b/>
      <sz val="9"/>
      <color theme="0"/>
      <name val="Calibri"/>
      <family val="2"/>
      <scheme val="minor"/>
    </font>
    <font>
      <sz val="8"/>
      <color theme="0" tint="-0.34998626667073579"/>
      <name val="Calibri"/>
      <family val="2"/>
      <scheme val="minor"/>
    </font>
    <font>
      <b/>
      <sz val="9"/>
      <color theme="1"/>
      <name val="Calibri"/>
      <family val="2"/>
      <scheme val="minor"/>
    </font>
    <font>
      <sz val="9"/>
      <color theme="1"/>
      <name val="Calibri"/>
      <family val="2"/>
      <scheme val="minor"/>
    </font>
    <font>
      <sz val="9"/>
      <name val="Calibri"/>
      <family val="2"/>
      <scheme val="minor"/>
    </font>
    <font>
      <b/>
      <sz val="9"/>
      <name val="Calibri"/>
      <family val="2"/>
      <scheme val="minor"/>
    </font>
    <font>
      <sz val="5"/>
      <color theme="0" tint="-0.34998626667073579"/>
      <name val="Calibri"/>
      <family val="2"/>
      <scheme val="minor"/>
    </font>
    <font>
      <sz val="9"/>
      <color theme="0"/>
      <name val="Calibri"/>
      <family val="2"/>
      <scheme val="minor"/>
    </font>
    <font>
      <b/>
      <sz val="10"/>
      <color theme="0"/>
      <name val="Calibri"/>
      <family val="2"/>
      <scheme val="minor"/>
    </font>
    <font>
      <b/>
      <sz val="10"/>
      <color theme="1"/>
      <name val="Calibri"/>
      <family val="2"/>
      <scheme val="minor"/>
    </font>
    <font>
      <b/>
      <sz val="10"/>
      <name val="Calibri"/>
      <family val="2"/>
      <scheme val="minor"/>
    </font>
    <font>
      <b/>
      <sz val="8"/>
      <color theme="0"/>
      <name val="Calibri"/>
      <family val="2"/>
      <scheme val="minor"/>
    </font>
    <font>
      <i/>
      <sz val="8"/>
      <color theme="1" tint="0.14999847407452621"/>
      <name val="Calibri"/>
      <family val="2"/>
      <scheme val="minor"/>
    </font>
    <font>
      <b/>
      <sz val="8"/>
      <name val="Calibri"/>
      <family val="2"/>
      <scheme val="minor"/>
    </font>
    <font>
      <sz val="8"/>
      <name val="Calibri"/>
      <family val="2"/>
      <scheme val="minor"/>
    </font>
    <font>
      <b/>
      <sz val="18"/>
      <color theme="4" tint="-0.499984740745262"/>
      <name val="Calibri"/>
      <family val="2"/>
    </font>
    <font>
      <b/>
      <sz val="12"/>
      <name val="Calibri"/>
      <family val="2"/>
      <scheme val="minor"/>
    </font>
    <font>
      <sz val="10"/>
      <name val="Calibri"/>
      <family val="2"/>
      <scheme val="minor"/>
    </font>
    <font>
      <b/>
      <sz val="14"/>
      <color theme="1"/>
      <name val="Calibri"/>
      <family val="2"/>
      <scheme val="minor"/>
    </font>
    <font>
      <sz val="14"/>
      <color theme="0"/>
      <name val="Calibri"/>
      <family val="2"/>
      <scheme val="minor"/>
    </font>
    <font>
      <i/>
      <sz val="8"/>
      <name val="Calibri"/>
      <family val="2"/>
      <scheme val="minor"/>
    </font>
    <font>
      <sz val="8"/>
      <color theme="0"/>
      <name val="Calibri"/>
      <family val="2"/>
      <scheme val="minor"/>
    </font>
    <font>
      <i/>
      <sz val="11"/>
      <color theme="0"/>
      <name val="Calibri"/>
      <family val="2"/>
      <scheme val="minor"/>
    </font>
    <font>
      <b/>
      <sz val="8"/>
      <color theme="1"/>
      <name val="Calibri"/>
      <family val="2"/>
      <scheme val="minor"/>
    </font>
    <font>
      <sz val="10"/>
      <color theme="0"/>
      <name val="Calibri"/>
      <family val="2"/>
      <scheme val="minor"/>
    </font>
    <font>
      <b/>
      <sz val="11"/>
      <color theme="0"/>
      <name val="Calibri"/>
      <family val="2"/>
      <scheme val="minor"/>
    </font>
    <font>
      <b/>
      <sz val="12"/>
      <color theme="0"/>
      <name val="Calibri"/>
      <family val="2"/>
      <scheme val="minor"/>
    </font>
    <font>
      <b/>
      <sz val="16"/>
      <color theme="1" tint="0.34998626667073579"/>
      <name val="Calibri"/>
      <family val="2"/>
      <scheme val="minor"/>
    </font>
    <font>
      <b/>
      <i/>
      <sz val="16"/>
      <color theme="1" tint="0.34998626667073579"/>
      <name val="Calibri"/>
      <family val="2"/>
      <scheme val="minor"/>
    </font>
    <font>
      <i/>
      <sz val="14"/>
      <color theme="1" tint="0.34998626667073579"/>
      <name val="Calibri"/>
      <family val="2"/>
      <scheme val="minor"/>
    </font>
    <font>
      <i/>
      <sz val="10"/>
      <color theme="1" tint="0.34998626667073579"/>
      <name val="Calibri"/>
      <family val="2"/>
      <scheme val="minor"/>
    </font>
    <font>
      <b/>
      <i/>
      <sz val="9"/>
      <color theme="1" tint="0.34998626667073579"/>
      <name val="Calibri"/>
      <family val="2"/>
      <scheme val="minor"/>
    </font>
    <font>
      <sz val="10"/>
      <color theme="1"/>
      <name val="Calibri"/>
      <family val="2"/>
      <scheme val="minor"/>
    </font>
    <font>
      <b/>
      <sz val="12"/>
      <color theme="1" tint="0.34998626667073579"/>
      <name val="Calibri"/>
      <family val="2"/>
      <scheme val="minor"/>
    </font>
    <font>
      <sz val="9"/>
      <color rgb="FFFFFF00"/>
      <name val="Calibri"/>
      <family val="2"/>
      <scheme val="minor"/>
    </font>
    <font>
      <sz val="9"/>
      <color rgb="FF002060"/>
      <name val="Calibri"/>
      <family val="2"/>
      <scheme val="minor"/>
    </font>
    <font>
      <b/>
      <sz val="9"/>
      <color rgb="FF002060"/>
      <name val="Calibri"/>
      <family val="2"/>
      <scheme val="minor"/>
    </font>
    <font>
      <b/>
      <sz val="8"/>
      <color rgb="FF002060"/>
      <name val="Calibri"/>
      <family val="2"/>
      <scheme val="minor"/>
    </font>
  </fonts>
  <fills count="4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6"/>
        <bgColor indexed="64"/>
      </patternFill>
    </fill>
    <fill>
      <patternFill patternType="solid">
        <fgColor theme="6" tint="0.59999389629810485"/>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1" tint="0.499984740745262"/>
        <bgColor indexed="64"/>
      </patternFill>
    </fill>
    <fill>
      <patternFill patternType="solid">
        <fgColor theme="7"/>
        <bgColor indexed="64"/>
      </patternFill>
    </fill>
    <fill>
      <patternFill patternType="solid">
        <fgColor theme="9"/>
        <bgColor indexed="64"/>
      </patternFill>
    </fill>
    <fill>
      <patternFill patternType="solid">
        <fgColor rgb="FF002060"/>
        <bgColor indexed="64"/>
      </patternFill>
    </fill>
    <fill>
      <patternFill patternType="solid">
        <fgColor theme="3"/>
        <bgColor indexed="64"/>
      </patternFill>
    </fill>
    <fill>
      <patternFill patternType="solid">
        <fgColor theme="9" tint="0.59999389629810485"/>
        <bgColor indexed="64"/>
      </patternFill>
    </fill>
    <fill>
      <patternFill patternType="solid">
        <fgColor theme="1" tint="0.14999847407452621"/>
        <bgColor indexed="64"/>
      </patternFill>
    </fill>
    <fill>
      <patternFill patternType="solid">
        <fgColor theme="5"/>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3" tint="0.79998168889431442"/>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6" tint="-0.499984740745262"/>
        <bgColor indexed="64"/>
      </patternFill>
    </fill>
    <fill>
      <patternFill patternType="solid">
        <fgColor rgb="FF00B0F0"/>
        <bgColor indexed="64"/>
      </patternFill>
    </fill>
    <fill>
      <patternFill patternType="solid">
        <fgColor rgb="FFFABF8F"/>
        <bgColor indexed="64"/>
      </patternFill>
    </fill>
    <fill>
      <patternFill patternType="solid">
        <fgColor rgb="FF92D050"/>
        <bgColor indexed="64"/>
      </patternFill>
    </fill>
    <fill>
      <patternFill patternType="solid">
        <fgColor theme="3" tint="0.39997558519241921"/>
        <bgColor indexed="64"/>
      </patternFill>
    </fill>
  </fills>
  <borders count="40">
    <border>
      <left/>
      <right/>
      <top/>
      <bottom/>
      <diagonal/>
    </border>
    <border>
      <left style="thin">
        <color indexed="64"/>
      </left>
      <right/>
      <top style="thin">
        <color indexed="64"/>
      </top>
      <bottom/>
      <diagonal/>
    </border>
    <border>
      <left/>
      <right/>
      <top/>
      <bottom style="thin">
        <color indexed="64"/>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bottom/>
      <diagonal/>
    </border>
    <border>
      <left/>
      <right style="thick">
        <color theme="0"/>
      </right>
      <top/>
      <bottom/>
      <diagonal/>
    </border>
    <border>
      <left style="thick">
        <color theme="0"/>
      </left>
      <right style="thick">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medium">
        <color theme="0"/>
      </left>
      <right style="medium">
        <color theme="0"/>
      </right>
      <top style="medium">
        <color theme="0"/>
      </top>
      <bottom style="medium">
        <color theme="0"/>
      </bottom>
      <diagonal/>
    </border>
    <border>
      <left style="thick">
        <color theme="0"/>
      </left>
      <right/>
      <top style="thick">
        <color theme="0"/>
      </top>
      <bottom style="thin">
        <color indexed="64"/>
      </bottom>
      <diagonal/>
    </border>
    <border>
      <left/>
      <right/>
      <top style="thick">
        <color theme="0"/>
      </top>
      <bottom style="thin">
        <color indexed="64"/>
      </bottom>
      <diagonal/>
    </border>
    <border>
      <left/>
      <right style="thick">
        <color theme="0"/>
      </right>
      <top style="thick">
        <color theme="0"/>
      </top>
      <bottom style="thin">
        <color indexed="64"/>
      </bottom>
      <diagonal/>
    </border>
    <border>
      <left style="thick">
        <color theme="0"/>
      </left>
      <right style="medium">
        <color theme="0"/>
      </right>
      <top style="thick">
        <color theme="0"/>
      </top>
      <bottom style="medium">
        <color theme="0"/>
      </bottom>
      <diagonal/>
    </border>
    <border>
      <left style="medium">
        <color theme="0"/>
      </left>
      <right style="medium">
        <color theme="0"/>
      </right>
      <top style="thick">
        <color theme="0"/>
      </top>
      <bottom style="medium">
        <color theme="0"/>
      </bottom>
      <diagonal/>
    </border>
    <border>
      <left style="medium">
        <color theme="0"/>
      </left>
      <right style="thick">
        <color theme="0"/>
      </right>
      <top style="thick">
        <color theme="0"/>
      </top>
      <bottom style="medium">
        <color theme="0"/>
      </bottom>
      <diagonal/>
    </border>
    <border>
      <left style="thick">
        <color theme="0"/>
      </left>
      <right style="medium">
        <color theme="0"/>
      </right>
      <top style="medium">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thick">
        <color theme="0"/>
      </bottom>
      <diagonal/>
    </border>
    <border>
      <left style="medium">
        <color theme="0"/>
      </left>
      <right style="medium">
        <color theme="0"/>
      </right>
      <top style="medium">
        <color theme="0"/>
      </top>
      <bottom style="thick">
        <color theme="0"/>
      </bottom>
      <diagonal/>
    </border>
    <border>
      <left style="medium">
        <color theme="0"/>
      </left>
      <right style="thick">
        <color theme="0"/>
      </right>
      <top style="medium">
        <color theme="0"/>
      </top>
      <bottom style="thick">
        <color theme="0"/>
      </bottom>
      <diagonal/>
    </border>
    <border>
      <left style="thin">
        <color indexed="64"/>
      </left>
      <right/>
      <top/>
      <bottom style="thin">
        <color indexed="64"/>
      </bottom>
      <diagonal/>
    </border>
    <border>
      <left/>
      <right style="medium">
        <color theme="0"/>
      </right>
      <top style="thick">
        <color theme="0"/>
      </top>
      <bottom style="medium">
        <color theme="0"/>
      </bottom>
      <diagonal/>
    </border>
    <border>
      <left/>
      <right style="medium">
        <color theme="0"/>
      </right>
      <top style="medium">
        <color theme="0"/>
      </top>
      <bottom style="thick">
        <color theme="0"/>
      </bottom>
      <diagonal/>
    </border>
  </borders>
  <cellStyleXfs count="13">
    <xf numFmtId="0" fontId="0" fillId="0" borderId="0"/>
    <xf numFmtId="9" fontId="6" fillId="0" borderId="0" applyFont="0" applyFill="0" applyBorder="0" applyAlignment="0" applyProtection="0"/>
    <xf numFmtId="0" fontId="10" fillId="0" borderId="0"/>
    <xf numFmtId="164" fontId="10" fillId="0" borderId="0" applyFont="0" applyFill="0" applyBorder="0" applyAlignment="0" applyProtection="0"/>
    <xf numFmtId="166" fontId="10" fillId="0" borderId="1" applyFont="0" applyFill="0" applyBorder="0" applyAlignment="0"/>
    <xf numFmtId="167" fontId="11" fillId="0" borderId="0" applyFill="0" applyBorder="0" applyAlignment="0"/>
    <xf numFmtId="168" fontId="10" fillId="0" borderId="1" applyFont="0" applyFill="0" applyBorder="0" applyAlignment="0"/>
    <xf numFmtId="164" fontId="6"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3" fontId="10" fillId="0" borderId="0" applyFill="0" applyBorder="0" applyProtection="0"/>
    <xf numFmtId="0" fontId="6" fillId="0" borderId="0"/>
  </cellStyleXfs>
  <cellXfs count="1189">
    <xf numFmtId="0" fontId="0" fillId="0" borderId="0" xfId="0"/>
    <xf numFmtId="0" fontId="0" fillId="2" borderId="0" xfId="0" applyFill="1" applyProtection="1">
      <protection hidden="1"/>
    </xf>
    <xf numFmtId="0" fontId="0" fillId="8" borderId="0" xfId="0" applyFill="1" applyProtection="1">
      <protection hidden="1"/>
    </xf>
    <xf numFmtId="0" fontId="2" fillId="3" borderId="0" xfId="0" applyFont="1" applyFill="1" applyProtection="1">
      <protection hidden="1"/>
    </xf>
    <xf numFmtId="0" fontId="0" fillId="7" borderId="0" xfId="0" applyFill="1" applyProtection="1">
      <protection hidden="1"/>
    </xf>
    <xf numFmtId="0" fontId="2" fillId="3" borderId="0" xfId="0" applyFont="1" applyFill="1" applyAlignment="1" applyProtection="1">
      <alignment horizontal="left"/>
      <protection hidden="1"/>
    </xf>
    <xf numFmtId="169" fontId="0" fillId="2" borderId="0" xfId="0" applyNumberFormat="1" applyFill="1" applyAlignment="1" applyProtection="1">
      <alignment horizontal="center" vertical="center"/>
      <protection hidden="1"/>
    </xf>
    <xf numFmtId="0" fontId="8" fillId="2" borderId="0" xfId="0" applyFont="1" applyFill="1" applyProtection="1">
      <protection hidden="1"/>
    </xf>
    <xf numFmtId="0" fontId="7" fillId="8" borderId="0" xfId="0" applyFont="1" applyFill="1" applyProtection="1">
      <protection hidden="1"/>
    </xf>
    <xf numFmtId="0" fontId="9" fillId="8" borderId="0" xfId="0" applyFont="1" applyFill="1" applyProtection="1">
      <protection hidden="1"/>
    </xf>
    <xf numFmtId="49" fontId="4" fillId="6" borderId="2" xfId="0" applyNumberFormat="1" applyFont="1" applyFill="1" applyBorder="1" applyAlignment="1" applyProtection="1">
      <alignment horizontal="center" vertical="center" wrapText="1"/>
      <protection hidden="1"/>
    </xf>
    <xf numFmtId="0" fontId="4" fillId="6" borderId="2" xfId="0" applyFont="1" applyFill="1" applyBorder="1" applyAlignment="1" applyProtection="1">
      <alignment horizontal="center" vertical="center" wrapText="1"/>
      <protection hidden="1"/>
    </xf>
    <xf numFmtId="0" fontId="3" fillId="5" borderId="2" xfId="0" applyFont="1" applyFill="1" applyBorder="1" applyProtection="1">
      <protection hidden="1"/>
    </xf>
    <xf numFmtId="0" fontId="4" fillId="2" borderId="4" xfId="0" applyFont="1" applyFill="1" applyBorder="1" applyAlignment="1" applyProtection="1">
      <alignment horizontal="center" vertical="center"/>
      <protection hidden="1"/>
    </xf>
    <xf numFmtId="0" fontId="4" fillId="2" borderId="0" xfId="0" applyFont="1" applyFill="1" applyAlignment="1" applyProtection="1">
      <alignment horizontal="center" vertical="center"/>
      <protection hidden="1"/>
    </xf>
    <xf numFmtId="0" fontId="3" fillId="5" borderId="0" xfId="0" applyFont="1" applyFill="1" applyProtection="1">
      <protection hidden="1"/>
    </xf>
    <xf numFmtId="0" fontId="16" fillId="2" borderId="0" xfId="0" applyFont="1" applyFill="1" applyAlignment="1" applyProtection="1">
      <alignment horizontal="left" vertical="center"/>
      <protection hidden="1"/>
    </xf>
    <xf numFmtId="1" fontId="0" fillId="8" borderId="0" xfId="0" applyNumberFormat="1" applyFill="1" applyProtection="1">
      <protection hidden="1"/>
    </xf>
    <xf numFmtId="0" fontId="7" fillId="8" borderId="0" xfId="0" applyFont="1" applyFill="1" applyAlignment="1" applyProtection="1">
      <alignment textRotation="90"/>
      <protection hidden="1"/>
    </xf>
    <xf numFmtId="0" fontId="0" fillId="7" borderId="0" xfId="0" applyFill="1" applyAlignment="1" applyProtection="1">
      <alignment horizontal="left"/>
      <protection hidden="1"/>
    </xf>
    <xf numFmtId="0" fontId="16" fillId="2" borderId="0" xfId="0" applyFont="1" applyFill="1" applyAlignment="1" applyProtection="1">
      <alignment horizontal="left"/>
      <protection hidden="1"/>
    </xf>
    <xf numFmtId="0" fontId="16" fillId="2" borderId="4" xfId="0" applyFont="1" applyFill="1" applyBorder="1" applyAlignment="1" applyProtection="1">
      <alignment horizontal="left" vertical="center"/>
      <protection hidden="1"/>
    </xf>
    <xf numFmtId="0" fontId="0" fillId="2" borderId="0" xfId="0" applyFill="1" applyProtection="1">
      <protection locked="0" hidden="1"/>
    </xf>
    <xf numFmtId="0" fontId="4" fillId="6" borderId="2" xfId="0" applyFont="1" applyFill="1" applyBorder="1" applyAlignment="1" applyProtection="1">
      <alignment vertical="center" wrapText="1"/>
      <protection hidden="1"/>
    </xf>
    <xf numFmtId="0" fontId="18" fillId="6" borderId="7" xfId="0" applyFont="1" applyFill="1" applyBorder="1" applyAlignment="1" applyProtection="1">
      <alignment horizontal="center" vertical="center" wrapText="1"/>
      <protection hidden="1"/>
    </xf>
    <xf numFmtId="0" fontId="16" fillId="2" borderId="0" xfId="0" applyFont="1" applyFill="1" applyAlignment="1" applyProtection="1">
      <alignment horizontal="center"/>
      <protection hidden="1"/>
    </xf>
    <xf numFmtId="0" fontId="16" fillId="2" borderId="6" xfId="0" applyFont="1" applyFill="1" applyBorder="1" applyAlignment="1" applyProtection="1">
      <alignment horizontal="center" vertical="center"/>
      <protection hidden="1"/>
    </xf>
    <xf numFmtId="1" fontId="16" fillId="2" borderId="6" xfId="0" applyNumberFormat="1" applyFont="1" applyFill="1" applyBorder="1" applyAlignment="1" applyProtection="1">
      <alignment horizontal="center" vertical="center" wrapText="1"/>
      <protection hidden="1"/>
    </xf>
    <xf numFmtId="0" fontId="16" fillId="2" borderId="6" xfId="0" applyFont="1" applyFill="1" applyBorder="1" applyAlignment="1" applyProtection="1">
      <alignment horizontal="center" vertical="center" wrapText="1"/>
      <protection hidden="1"/>
    </xf>
    <xf numFmtId="0" fontId="17" fillId="2" borderId="6" xfId="0" applyFont="1" applyFill="1" applyBorder="1" applyAlignment="1" applyProtection="1">
      <alignment horizontal="center" vertical="center"/>
      <protection hidden="1"/>
    </xf>
    <xf numFmtId="0" fontId="4" fillId="8" borderId="0" xfId="0" applyFont="1" applyFill="1" applyAlignment="1" applyProtection="1">
      <alignment vertical="center" wrapText="1"/>
      <protection hidden="1"/>
    </xf>
    <xf numFmtId="1" fontId="8" fillId="2" borderId="0" xfId="0" applyNumberFormat="1" applyFont="1" applyFill="1" applyProtection="1">
      <protection hidden="1"/>
    </xf>
    <xf numFmtId="1" fontId="0" fillId="2" borderId="4" xfId="0" applyNumberFormat="1" applyFill="1" applyBorder="1" applyProtection="1">
      <protection hidden="1"/>
    </xf>
    <xf numFmtId="9" fontId="12" fillId="2" borderId="0" xfId="1" applyFont="1" applyFill="1" applyAlignment="1" applyProtection="1">
      <alignment horizontal="center" vertical="center"/>
      <protection hidden="1"/>
    </xf>
    <xf numFmtId="9" fontId="0" fillId="8" borderId="0" xfId="1" applyFont="1" applyFill="1" applyProtection="1">
      <protection hidden="1"/>
    </xf>
    <xf numFmtId="0" fontId="24" fillId="30" borderId="0" xfId="0" applyFont="1" applyFill="1" applyAlignment="1">
      <alignment horizontal="center" vertical="center"/>
    </xf>
    <xf numFmtId="0" fontId="22" fillId="20" borderId="13" xfId="0" applyFont="1" applyFill="1" applyBorder="1" applyAlignment="1">
      <alignment horizontal="center" vertical="center"/>
    </xf>
    <xf numFmtId="0" fontId="25" fillId="30" borderId="0" xfId="0" applyFont="1" applyFill="1" applyAlignment="1">
      <alignment horizontal="center" vertical="center"/>
    </xf>
    <xf numFmtId="165" fontId="26" fillId="2" borderId="10" xfId="1" applyNumberFormat="1" applyFont="1" applyFill="1" applyBorder="1" applyAlignment="1">
      <alignment horizontal="center" vertical="center"/>
    </xf>
    <xf numFmtId="0" fontId="25" fillId="30" borderId="0" xfId="0" applyFont="1" applyFill="1" applyAlignment="1">
      <alignment vertical="center"/>
    </xf>
    <xf numFmtId="0" fontId="25" fillId="30" borderId="0" xfId="0" applyFont="1" applyFill="1" applyAlignment="1">
      <alignment horizontal="right" vertical="center"/>
    </xf>
    <xf numFmtId="0" fontId="21" fillId="30" borderId="0" xfId="0" applyFont="1" applyFill="1" applyAlignment="1">
      <alignment horizontal="right" vertical="center"/>
    </xf>
    <xf numFmtId="0" fontId="21" fillId="30" borderId="0" xfId="0" applyFont="1" applyFill="1" applyAlignment="1">
      <alignment vertical="center"/>
    </xf>
    <xf numFmtId="0" fontId="25" fillId="6" borderId="0" xfId="0" applyFont="1" applyFill="1" applyAlignment="1">
      <alignment vertical="center"/>
    </xf>
    <xf numFmtId="0" fontId="22" fillId="6" borderId="14" xfId="0" applyFont="1" applyFill="1" applyBorder="1" applyAlignment="1">
      <alignment vertical="center"/>
    </xf>
    <xf numFmtId="0" fontId="22" fillId="6" borderId="15" xfId="0" applyFont="1" applyFill="1" applyBorder="1" applyAlignment="1">
      <alignment vertical="center"/>
    </xf>
    <xf numFmtId="0" fontId="22" fillId="6" borderId="16" xfId="0" applyFont="1" applyFill="1" applyBorder="1" applyAlignment="1">
      <alignment vertical="center"/>
    </xf>
    <xf numFmtId="0" fontId="25" fillId="6" borderId="20" xfId="0" applyFont="1" applyFill="1" applyBorder="1" applyAlignment="1">
      <alignment vertical="center"/>
    </xf>
    <xf numFmtId="0" fontId="25" fillId="6" borderId="21" xfId="0" applyFont="1" applyFill="1" applyBorder="1" applyAlignment="1">
      <alignment vertical="center"/>
    </xf>
    <xf numFmtId="0" fontId="16" fillId="3" borderId="4" xfId="0" applyFont="1" applyFill="1" applyBorder="1" applyAlignment="1" applyProtection="1">
      <alignment horizontal="right"/>
      <protection hidden="1"/>
    </xf>
    <xf numFmtId="0" fontId="25" fillId="27" borderId="17" xfId="0" applyFont="1" applyFill="1" applyBorder="1" applyAlignment="1">
      <alignment vertical="center"/>
    </xf>
    <xf numFmtId="0" fontId="25" fillId="27" borderId="18" xfId="0" applyFont="1" applyFill="1" applyBorder="1" applyAlignment="1">
      <alignment vertical="center"/>
    </xf>
    <xf numFmtId="0" fontId="25" fillId="27" borderId="19" xfId="0" applyFont="1" applyFill="1" applyBorder="1" applyAlignment="1">
      <alignment vertical="center"/>
    </xf>
    <xf numFmtId="0" fontId="25" fillId="30" borderId="14" xfId="0" applyFont="1" applyFill="1" applyBorder="1" applyAlignment="1">
      <alignment vertical="center"/>
    </xf>
    <xf numFmtId="0" fontId="25" fillId="30" borderId="15" xfId="0" applyFont="1" applyFill="1" applyBorder="1" applyAlignment="1">
      <alignment vertical="center"/>
    </xf>
    <xf numFmtId="0" fontId="25" fillId="30" borderId="16" xfId="0" applyFont="1" applyFill="1" applyBorder="1" applyAlignment="1">
      <alignment vertical="center"/>
    </xf>
    <xf numFmtId="0" fontId="23" fillId="2" borderId="18" xfId="0" applyFont="1" applyFill="1" applyBorder="1" applyAlignment="1">
      <alignment vertical="center"/>
    </xf>
    <xf numFmtId="9" fontId="0" fillId="2" borderId="0" xfId="1" applyFont="1" applyFill="1" applyAlignment="1" applyProtection="1">
      <alignment horizontal="center" vertical="center"/>
      <protection hidden="1"/>
    </xf>
    <xf numFmtId="0" fontId="25" fillId="22" borderId="20" xfId="0" applyFont="1" applyFill="1" applyBorder="1" applyAlignment="1">
      <alignment vertical="center"/>
    </xf>
    <xf numFmtId="0" fontId="25" fillId="22" borderId="0" xfId="0" applyFont="1" applyFill="1" applyAlignment="1">
      <alignment vertical="center"/>
    </xf>
    <xf numFmtId="0" fontId="25" fillId="22" borderId="21" xfId="0" applyFont="1" applyFill="1" applyBorder="1" applyAlignment="1">
      <alignment vertical="center"/>
    </xf>
    <xf numFmtId="0" fontId="28" fillId="2" borderId="19" xfId="0" applyFont="1" applyFill="1" applyBorder="1" applyAlignment="1">
      <alignment horizontal="right"/>
    </xf>
    <xf numFmtId="0" fontId="28" fillId="2" borderId="17" xfId="0" applyFont="1" applyFill="1" applyBorder="1"/>
    <xf numFmtId="0" fontId="24" fillId="2" borderId="11" xfId="0" applyFont="1" applyFill="1" applyBorder="1" applyAlignment="1">
      <alignment horizontal="right" vertical="center"/>
    </xf>
    <xf numFmtId="0" fontId="22" fillId="5" borderId="11" xfId="0" applyFont="1" applyFill="1" applyBorder="1" applyAlignment="1">
      <alignment horizontal="center" vertical="center"/>
    </xf>
    <xf numFmtId="0" fontId="22" fillId="13" borderId="11" xfId="0" applyFont="1" applyFill="1" applyBorder="1" applyAlignment="1">
      <alignment horizontal="center" vertical="center"/>
    </xf>
    <xf numFmtId="0" fontId="24" fillId="3" borderId="11" xfId="0" applyFont="1" applyFill="1" applyBorder="1" applyAlignment="1">
      <alignment horizontal="center" vertical="center"/>
    </xf>
    <xf numFmtId="0" fontId="24" fillId="4" borderId="11" xfId="0" applyFont="1" applyFill="1" applyBorder="1" applyAlignment="1">
      <alignment horizontal="center" vertical="center"/>
    </xf>
    <xf numFmtId="9" fontId="26" fillId="3" borderId="22" xfId="1" applyFont="1" applyFill="1" applyBorder="1" applyAlignment="1">
      <alignment horizontal="center" vertical="center"/>
    </xf>
    <xf numFmtId="9" fontId="26" fillId="4" borderId="22" xfId="1" applyFont="1" applyFill="1" applyBorder="1" applyAlignment="1">
      <alignment horizontal="center" vertical="center"/>
    </xf>
    <xf numFmtId="9" fontId="29" fillId="13" borderId="22" xfId="1" applyFont="1" applyFill="1" applyBorder="1" applyAlignment="1">
      <alignment horizontal="center" vertical="center"/>
    </xf>
    <xf numFmtId="9" fontId="29" fillId="5" borderId="22" xfId="1" applyFont="1" applyFill="1" applyBorder="1" applyAlignment="1">
      <alignment horizontal="center" vertical="center"/>
    </xf>
    <xf numFmtId="165" fontId="26" fillId="0" borderId="10" xfId="1" applyNumberFormat="1" applyFont="1" applyBorder="1" applyAlignment="1">
      <alignment horizontal="center" vertical="center"/>
    </xf>
    <xf numFmtId="172" fontId="25" fillId="30" borderId="0" xfId="0" applyNumberFormat="1" applyFont="1" applyFill="1" applyAlignment="1">
      <alignment vertical="center"/>
    </xf>
    <xf numFmtId="1" fontId="24" fillId="7" borderId="10" xfId="0" applyNumberFormat="1" applyFont="1" applyFill="1" applyBorder="1" applyAlignment="1">
      <alignment horizontal="center" vertical="center"/>
    </xf>
    <xf numFmtId="1" fontId="24" fillId="7" borderId="22" xfId="1" applyNumberFormat="1" applyFont="1" applyFill="1" applyBorder="1" applyAlignment="1">
      <alignment horizontal="center" vertical="center"/>
    </xf>
    <xf numFmtId="0" fontId="29" fillId="30" borderId="0" xfId="0" applyFont="1" applyFill="1" applyAlignment="1">
      <alignment vertical="center"/>
    </xf>
    <xf numFmtId="173" fontId="25" fillId="30" borderId="0" xfId="0" applyNumberFormat="1" applyFont="1" applyFill="1" applyAlignment="1">
      <alignment horizontal="right" vertical="center"/>
    </xf>
    <xf numFmtId="9" fontId="26" fillId="0" borderId="10" xfId="1" applyFont="1" applyBorder="1" applyAlignment="1">
      <alignment vertical="center"/>
    </xf>
    <xf numFmtId="2" fontId="26" fillId="0" borderId="10" xfId="1" applyNumberFormat="1" applyFont="1" applyBorder="1" applyAlignment="1">
      <alignment horizontal="center" vertical="center"/>
    </xf>
    <xf numFmtId="0" fontId="0" fillId="3" borderId="2" xfId="0" applyFill="1" applyBorder="1" applyProtection="1">
      <protection hidden="1"/>
    </xf>
    <xf numFmtId="0" fontId="4" fillId="3" borderId="0" xfId="0" applyFont="1" applyFill="1" applyAlignment="1" applyProtection="1">
      <alignment wrapText="1"/>
      <protection hidden="1"/>
    </xf>
    <xf numFmtId="0" fontId="4" fillId="3" borderId="3" xfId="0" applyFont="1" applyFill="1" applyBorder="1" applyAlignment="1" applyProtection="1">
      <alignment wrapText="1"/>
      <protection hidden="1"/>
    </xf>
    <xf numFmtId="0" fontId="4" fillId="2" borderId="9" xfId="0" applyFont="1" applyFill="1" applyBorder="1" applyAlignment="1" applyProtection="1">
      <alignment wrapText="1"/>
      <protection hidden="1"/>
    </xf>
    <xf numFmtId="0" fontId="4" fillId="2" borderId="0" xfId="0" applyFont="1" applyFill="1" applyAlignment="1" applyProtection="1">
      <alignment wrapText="1"/>
      <protection hidden="1"/>
    </xf>
    <xf numFmtId="0" fontId="25" fillId="0" borderId="10" xfId="0" applyFont="1" applyBorder="1" applyAlignment="1">
      <alignment vertical="center"/>
    </xf>
    <xf numFmtId="1" fontId="27" fillId="7" borderId="11" xfId="1" applyNumberFormat="1" applyFont="1" applyFill="1" applyBorder="1" applyAlignment="1">
      <alignment horizontal="right" vertical="center"/>
    </xf>
    <xf numFmtId="0" fontId="34" fillId="2" borderId="17" xfId="0" applyFont="1" applyFill="1" applyBorder="1" applyAlignment="1">
      <alignment vertical="center"/>
    </xf>
    <xf numFmtId="0" fontId="16" fillId="3" borderId="0" xfId="0" applyFont="1" applyFill="1" applyAlignment="1" applyProtection="1">
      <alignment horizontal="right"/>
      <protection hidden="1"/>
    </xf>
    <xf numFmtId="9" fontId="36" fillId="0" borderId="10" xfId="1" applyFont="1" applyBorder="1" applyAlignment="1">
      <alignment vertical="center"/>
    </xf>
    <xf numFmtId="2" fontId="36" fillId="0" borderId="10" xfId="1" applyNumberFormat="1" applyFont="1" applyBorder="1" applyAlignment="1">
      <alignment horizontal="center" vertical="center"/>
    </xf>
    <xf numFmtId="3" fontId="33" fillId="18" borderId="22" xfId="1" applyNumberFormat="1" applyFont="1" applyFill="1" applyBorder="1" applyAlignment="1">
      <alignment horizontal="center" vertical="center"/>
    </xf>
    <xf numFmtId="3" fontId="33" fillId="8" borderId="22" xfId="1" applyNumberFormat="1" applyFont="1" applyFill="1" applyBorder="1" applyAlignment="1">
      <alignment horizontal="center" vertical="center"/>
    </xf>
    <xf numFmtId="174" fontId="29" fillId="30" borderId="0" xfId="0" applyNumberFormat="1" applyFont="1" applyFill="1" applyAlignment="1">
      <alignment vertical="center"/>
    </xf>
    <xf numFmtId="175" fontId="35" fillId="3" borderId="10" xfId="7" applyNumberFormat="1" applyFont="1" applyFill="1" applyBorder="1" applyAlignment="1">
      <alignment horizontal="center" vertical="center"/>
    </xf>
    <xf numFmtId="175" fontId="35" fillId="4" borderId="10" xfId="7" applyNumberFormat="1" applyFont="1" applyFill="1" applyBorder="1" applyAlignment="1">
      <alignment horizontal="center" vertical="center"/>
    </xf>
    <xf numFmtId="175" fontId="33" fillId="13" borderId="10" xfId="7" applyNumberFormat="1" applyFont="1" applyFill="1" applyBorder="1" applyAlignment="1">
      <alignment horizontal="center" vertical="center"/>
    </xf>
    <xf numFmtId="175" fontId="33" fillId="5" borderId="10" xfId="7" applyNumberFormat="1" applyFont="1" applyFill="1" applyBorder="1" applyAlignment="1">
      <alignment horizontal="center" vertical="center"/>
    </xf>
    <xf numFmtId="175" fontId="33" fillId="18" borderId="10" xfId="7" applyNumberFormat="1" applyFont="1" applyFill="1" applyBorder="1" applyAlignment="1">
      <alignment horizontal="center" vertical="center"/>
    </xf>
    <xf numFmtId="0" fontId="20" fillId="0" borderId="10" xfId="0" applyFont="1" applyBorder="1" applyAlignment="1" applyProtection="1">
      <alignment vertical="center"/>
      <protection hidden="1"/>
    </xf>
    <xf numFmtId="1" fontId="13" fillId="8" borderId="0" xfId="11" applyNumberFormat="1" applyFont="1" applyFill="1" applyAlignment="1" applyProtection="1">
      <alignment horizontal="left" vertical="center"/>
      <protection hidden="1"/>
    </xf>
    <xf numFmtId="1" fontId="3" fillId="8" borderId="0" xfId="11" applyNumberFormat="1" applyFont="1" applyFill="1" applyAlignment="1" applyProtection="1">
      <alignment horizontal="left" vertical="center"/>
      <protection hidden="1"/>
    </xf>
    <xf numFmtId="3" fontId="3" fillId="8" borderId="0" xfId="11" applyFont="1" applyFill="1" applyProtection="1">
      <protection hidden="1"/>
    </xf>
    <xf numFmtId="3" fontId="39" fillId="2" borderId="0" xfId="11" applyFont="1" applyFill="1"/>
    <xf numFmtId="175" fontId="25" fillId="30" borderId="0" xfId="0" applyNumberFormat="1" applyFont="1" applyFill="1" applyAlignment="1">
      <alignment vertical="center"/>
    </xf>
    <xf numFmtId="0" fontId="14" fillId="0" borderId="0" xfId="0" applyFont="1" applyAlignment="1" applyProtection="1">
      <alignment horizontal="right"/>
      <protection hidden="1"/>
    </xf>
    <xf numFmtId="0" fontId="2" fillId="0" borderId="0" xfId="0" applyFont="1" applyAlignment="1" applyProtection="1">
      <alignment horizontal="right"/>
      <protection hidden="1"/>
    </xf>
    <xf numFmtId="0" fontId="16" fillId="0" borderId="0" xfId="0" applyFont="1" applyAlignment="1" applyProtection="1">
      <alignment horizontal="right"/>
      <protection hidden="1"/>
    </xf>
    <xf numFmtId="0" fontId="17" fillId="0" borderId="0" xfId="0" applyFont="1" applyAlignment="1" applyProtection="1">
      <alignment horizontal="right"/>
      <protection hidden="1"/>
    </xf>
    <xf numFmtId="0" fontId="0" fillId="0" borderId="18" xfId="0" applyBorder="1" applyAlignment="1" applyProtection="1">
      <alignment horizontal="right"/>
      <protection hidden="1"/>
    </xf>
    <xf numFmtId="0" fontId="25" fillId="30" borderId="0" xfId="0" applyFont="1" applyFill="1" applyAlignment="1" applyProtection="1">
      <alignment horizontal="center" vertical="center"/>
      <protection hidden="1"/>
    </xf>
    <xf numFmtId="0" fontId="25" fillId="30" borderId="0" xfId="0" applyFont="1" applyFill="1" applyAlignment="1" applyProtection="1">
      <alignment vertical="center"/>
      <protection hidden="1"/>
    </xf>
    <xf numFmtId="0" fontId="25" fillId="30" borderId="0" xfId="0" applyFont="1" applyFill="1" applyAlignment="1" applyProtection="1">
      <alignment horizontal="right" vertical="center"/>
      <protection hidden="1"/>
    </xf>
    <xf numFmtId="0" fontId="25" fillId="30" borderId="14" xfId="0" applyFont="1" applyFill="1" applyBorder="1" applyAlignment="1" applyProtection="1">
      <alignment vertical="center"/>
      <protection hidden="1"/>
    </xf>
    <xf numFmtId="0" fontId="25" fillId="30" borderId="15" xfId="0" applyFont="1" applyFill="1" applyBorder="1" applyAlignment="1" applyProtection="1">
      <alignment vertical="center"/>
      <protection hidden="1"/>
    </xf>
    <xf numFmtId="0" fontId="25" fillId="30" borderId="16" xfId="0" applyFont="1" applyFill="1" applyBorder="1" applyAlignment="1" applyProtection="1">
      <alignment vertical="center"/>
      <protection hidden="1"/>
    </xf>
    <xf numFmtId="0" fontId="22" fillId="6" borderId="14" xfId="0" applyFont="1" applyFill="1" applyBorder="1" applyAlignment="1" applyProtection="1">
      <alignment vertical="center"/>
      <protection hidden="1"/>
    </xf>
    <xf numFmtId="0" fontId="22" fillId="6" borderId="15" xfId="0" applyFont="1" applyFill="1" applyBorder="1" applyAlignment="1" applyProtection="1">
      <alignment vertical="center"/>
      <protection hidden="1"/>
    </xf>
    <xf numFmtId="0" fontId="22" fillId="6" borderId="16" xfId="0" applyFont="1" applyFill="1" applyBorder="1" applyAlignment="1" applyProtection="1">
      <alignment vertical="center"/>
      <protection hidden="1"/>
    </xf>
    <xf numFmtId="0" fontId="25" fillId="6" borderId="20" xfId="0" applyFont="1" applyFill="1" applyBorder="1" applyAlignment="1" applyProtection="1">
      <alignment vertical="center"/>
      <protection hidden="1"/>
    </xf>
    <xf numFmtId="0" fontId="25" fillId="6" borderId="0" xfId="0" applyFont="1" applyFill="1" applyAlignment="1" applyProtection="1">
      <alignment vertical="center"/>
      <protection hidden="1"/>
    </xf>
    <xf numFmtId="0" fontId="25" fillId="6" borderId="21" xfId="0" applyFont="1" applyFill="1" applyBorder="1" applyAlignment="1" applyProtection="1">
      <alignment vertical="center"/>
      <protection hidden="1"/>
    </xf>
    <xf numFmtId="0" fontId="25" fillId="6" borderId="17" xfId="0" applyFont="1" applyFill="1" applyBorder="1" applyAlignment="1" applyProtection="1">
      <alignment vertical="center"/>
      <protection hidden="1"/>
    </xf>
    <xf numFmtId="0" fontId="25" fillId="6" borderId="18" xfId="0" applyFont="1" applyFill="1" applyBorder="1" applyAlignment="1" applyProtection="1">
      <alignment vertical="center"/>
      <protection hidden="1"/>
    </xf>
    <xf numFmtId="0" fontId="25" fillId="6" borderId="19" xfId="0" applyFont="1" applyFill="1" applyBorder="1" applyAlignment="1" applyProtection="1">
      <alignment vertical="center"/>
      <protection hidden="1"/>
    </xf>
    <xf numFmtId="0" fontId="24" fillId="30" borderId="0" xfId="0" applyFont="1" applyFill="1" applyAlignment="1" applyProtection="1">
      <alignment horizontal="center" vertical="center"/>
      <protection hidden="1"/>
    </xf>
    <xf numFmtId="0" fontId="40" fillId="30" borderId="0" xfId="0" applyFont="1" applyFill="1" applyAlignment="1" applyProtection="1">
      <alignment horizontal="center" vertical="center"/>
      <protection hidden="1"/>
    </xf>
    <xf numFmtId="0" fontId="24" fillId="0" borderId="10" xfId="0" applyFont="1" applyBorder="1" applyAlignment="1" applyProtection="1">
      <alignment vertical="center"/>
      <protection hidden="1"/>
    </xf>
    <xf numFmtId="0" fontId="22" fillId="0" borderId="10" xfId="0" applyFont="1" applyBorder="1" applyAlignment="1" applyProtection="1">
      <alignment vertical="center" wrapText="1"/>
      <protection hidden="1"/>
    </xf>
    <xf numFmtId="0" fontId="25" fillId="0" borderId="10" xfId="0" applyFont="1" applyBorder="1" applyAlignment="1" applyProtection="1">
      <alignment vertical="center"/>
      <protection hidden="1"/>
    </xf>
    <xf numFmtId="0" fontId="22" fillId="0" borderId="10" xfId="0" applyFont="1" applyBorder="1" applyAlignment="1" applyProtection="1">
      <alignment horizontal="center" vertical="center" wrapText="1"/>
      <protection hidden="1"/>
    </xf>
    <xf numFmtId="0" fontId="24" fillId="0" borderId="10" xfId="0" quotePrefix="1" applyFont="1" applyBorder="1" applyAlignment="1" applyProtection="1">
      <alignment horizontal="center" vertical="center" wrapText="1"/>
      <protection hidden="1"/>
    </xf>
    <xf numFmtId="0" fontId="22" fillId="0" borderId="10" xfId="0" applyFont="1" applyBorder="1" applyAlignment="1" applyProtection="1">
      <alignment horizontal="right" vertical="center"/>
      <protection hidden="1"/>
    </xf>
    <xf numFmtId="0" fontId="22" fillId="0" borderId="10" xfId="0" applyFont="1" applyBorder="1" applyAlignment="1" applyProtection="1">
      <alignment horizontal="center" vertical="center"/>
      <protection hidden="1"/>
    </xf>
    <xf numFmtId="170" fontId="26" fillId="0" borderId="10" xfId="0" applyNumberFormat="1" applyFont="1" applyBorder="1" applyAlignment="1" applyProtection="1">
      <alignment vertical="center"/>
      <protection hidden="1"/>
    </xf>
    <xf numFmtId="165" fontId="26" fillId="0" borderId="10" xfId="1" applyNumberFormat="1" applyFont="1" applyBorder="1" applyAlignment="1" applyProtection="1">
      <alignment horizontal="center" vertical="center"/>
      <protection hidden="1"/>
    </xf>
    <xf numFmtId="170" fontId="26" fillId="0" borderId="14" xfId="0" applyNumberFormat="1" applyFont="1" applyBorder="1" applyAlignment="1" applyProtection="1">
      <alignment vertical="center"/>
      <protection hidden="1"/>
    </xf>
    <xf numFmtId="170" fontId="26" fillId="0" borderId="15" xfId="0" applyNumberFormat="1" applyFont="1" applyBorder="1" applyAlignment="1" applyProtection="1">
      <alignment vertical="center"/>
      <protection hidden="1"/>
    </xf>
    <xf numFmtId="165" fontId="26" fillId="0" borderId="15" xfId="1" applyNumberFormat="1" applyFont="1" applyBorder="1" applyAlignment="1" applyProtection="1">
      <alignment horizontal="center" vertical="center"/>
      <protection hidden="1"/>
    </xf>
    <xf numFmtId="171" fontId="26" fillId="0" borderId="15" xfId="0" applyNumberFormat="1" applyFont="1" applyBorder="1" applyAlignment="1" applyProtection="1">
      <alignment vertical="center"/>
      <protection hidden="1"/>
    </xf>
    <xf numFmtId="165" fontId="26" fillId="0" borderId="16" xfId="1" applyNumberFormat="1" applyFont="1" applyBorder="1" applyAlignment="1" applyProtection="1">
      <alignment horizontal="center" vertical="center"/>
      <protection hidden="1"/>
    </xf>
    <xf numFmtId="171" fontId="26" fillId="0" borderId="10" xfId="0" applyNumberFormat="1" applyFont="1" applyBorder="1" applyAlignment="1" applyProtection="1">
      <alignment vertical="center"/>
      <protection hidden="1"/>
    </xf>
    <xf numFmtId="0" fontId="22" fillId="0" borderId="20" xfId="0" applyFont="1" applyBorder="1" applyAlignment="1" applyProtection="1">
      <alignment vertical="center"/>
      <protection hidden="1"/>
    </xf>
    <xf numFmtId="0" fontId="22" fillId="0" borderId="0" xfId="0" applyFont="1" applyAlignment="1" applyProtection="1">
      <alignment vertical="center"/>
      <protection hidden="1"/>
    </xf>
    <xf numFmtId="0" fontId="24" fillId="0" borderId="0" xfId="0" applyFont="1" applyAlignment="1" applyProtection="1">
      <alignment vertical="center"/>
      <protection hidden="1"/>
    </xf>
    <xf numFmtId="0" fontId="22" fillId="0" borderId="0" xfId="0" applyFont="1" applyAlignment="1" applyProtection="1">
      <alignment vertical="center" wrapText="1"/>
      <protection hidden="1"/>
    </xf>
    <xf numFmtId="0" fontId="22" fillId="0" borderId="21" xfId="0" applyFont="1" applyBorder="1" applyAlignment="1" applyProtection="1">
      <alignment vertical="center" wrapText="1"/>
      <protection hidden="1"/>
    </xf>
    <xf numFmtId="0" fontId="24" fillId="0" borderId="10" xfId="0" applyFont="1" applyBorder="1" applyAlignment="1" applyProtection="1">
      <alignment horizontal="right" vertical="center"/>
      <protection hidden="1"/>
    </xf>
    <xf numFmtId="3" fontId="26" fillId="0" borderId="10" xfId="0" applyNumberFormat="1" applyFont="1" applyBorder="1" applyAlignment="1" applyProtection="1">
      <alignment vertical="center"/>
      <protection hidden="1"/>
    </xf>
    <xf numFmtId="0" fontId="22" fillId="0" borderId="10" xfId="0" applyFont="1" applyBorder="1" applyAlignment="1" applyProtection="1">
      <alignment vertical="center"/>
      <protection hidden="1"/>
    </xf>
    <xf numFmtId="0" fontId="24" fillId="0" borderId="10" xfId="0" applyFont="1" applyBorder="1" applyAlignment="1" applyProtection="1">
      <alignment vertical="center" wrapText="1"/>
      <protection hidden="1"/>
    </xf>
    <xf numFmtId="0" fontId="25" fillId="0" borderId="20" xfId="0" applyFont="1" applyBorder="1" applyAlignment="1" applyProtection="1">
      <alignment vertical="center"/>
      <protection hidden="1"/>
    </xf>
    <xf numFmtId="0" fontId="25" fillId="0" borderId="0" xfId="0" applyFont="1" applyAlignment="1" applyProtection="1">
      <alignment vertical="center"/>
      <protection hidden="1"/>
    </xf>
    <xf numFmtId="0" fontId="24" fillId="0" borderId="20" xfId="0" applyFont="1" applyBorder="1" applyAlignment="1" applyProtection="1">
      <alignment vertical="center"/>
      <protection hidden="1"/>
    </xf>
    <xf numFmtId="0" fontId="22" fillId="0" borderId="20" xfId="0" applyFont="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4" fillId="0" borderId="0" xfId="0" quotePrefix="1" applyFont="1" applyAlignment="1" applyProtection="1">
      <alignment horizontal="center" vertical="center" wrapText="1"/>
      <protection hidden="1"/>
    </xf>
    <xf numFmtId="3" fontId="26" fillId="0" borderId="20" xfId="0" applyNumberFormat="1" applyFont="1" applyBorder="1" applyAlignment="1" applyProtection="1">
      <alignment vertical="center"/>
      <protection hidden="1"/>
    </xf>
    <xf numFmtId="3" fontId="26" fillId="0" borderId="0" xfId="0" applyNumberFormat="1" applyFont="1" applyAlignment="1" applyProtection="1">
      <alignment vertical="center"/>
      <protection hidden="1"/>
    </xf>
    <xf numFmtId="165" fontId="26" fillId="0" borderId="0" xfId="1" applyNumberFormat="1" applyFont="1" applyAlignment="1" applyProtection="1">
      <alignment horizontal="center" vertical="center"/>
      <protection hidden="1"/>
    </xf>
    <xf numFmtId="171" fontId="27" fillId="0" borderId="10" xfId="0" applyNumberFormat="1" applyFont="1" applyBorder="1" applyAlignment="1" applyProtection="1">
      <alignment vertical="center"/>
      <protection hidden="1"/>
    </xf>
    <xf numFmtId="165" fontId="27" fillId="0" borderId="10" xfId="1" applyNumberFormat="1" applyFont="1" applyBorder="1" applyAlignment="1" applyProtection="1">
      <alignment horizontal="center" vertical="center"/>
      <protection hidden="1"/>
    </xf>
    <xf numFmtId="3" fontId="27" fillId="0" borderId="20" xfId="0" applyNumberFormat="1" applyFont="1" applyBorder="1" applyAlignment="1" applyProtection="1">
      <alignment vertical="center"/>
      <protection hidden="1"/>
    </xf>
    <xf numFmtId="3" fontId="27" fillId="0" borderId="0" xfId="0" applyNumberFormat="1" applyFont="1" applyAlignment="1" applyProtection="1">
      <alignment vertical="center"/>
      <protection hidden="1"/>
    </xf>
    <xf numFmtId="165" fontId="27" fillId="0" borderId="0" xfId="1" applyNumberFormat="1" applyFont="1" applyAlignment="1" applyProtection="1">
      <alignment horizontal="center" vertical="center"/>
      <protection hidden="1"/>
    </xf>
    <xf numFmtId="3" fontId="27" fillId="0" borderId="17" xfId="0" applyNumberFormat="1" applyFont="1" applyBorder="1" applyAlignment="1" applyProtection="1">
      <alignment vertical="center"/>
      <protection hidden="1"/>
    </xf>
    <xf numFmtId="3" fontId="27" fillId="0" borderId="18" xfId="0" applyNumberFormat="1" applyFont="1" applyBorder="1" applyAlignment="1" applyProtection="1">
      <alignment vertical="center"/>
      <protection hidden="1"/>
    </xf>
    <xf numFmtId="165" fontId="27" fillId="0" borderId="18" xfId="1" applyNumberFormat="1" applyFont="1" applyBorder="1" applyAlignment="1" applyProtection="1">
      <alignment horizontal="center" vertical="center"/>
      <protection hidden="1"/>
    </xf>
    <xf numFmtId="0" fontId="25" fillId="0" borderId="18" xfId="0" applyFont="1" applyBorder="1" applyAlignment="1" applyProtection="1">
      <alignment vertical="center"/>
      <protection hidden="1"/>
    </xf>
    <xf numFmtId="0" fontId="22" fillId="0" borderId="19" xfId="0" applyFont="1" applyBorder="1" applyAlignment="1" applyProtection="1">
      <alignment vertical="center" wrapText="1"/>
      <protection hidden="1"/>
    </xf>
    <xf numFmtId="0" fontId="21" fillId="30" borderId="0" xfId="0" applyFont="1" applyFill="1" applyAlignment="1" applyProtection="1">
      <alignment horizontal="right" vertical="center"/>
      <protection hidden="1"/>
    </xf>
    <xf numFmtId="0" fontId="28" fillId="2" borderId="17" xfId="0" applyFont="1" applyFill="1" applyBorder="1" applyProtection="1">
      <protection hidden="1"/>
    </xf>
    <xf numFmtId="0" fontId="23" fillId="2" borderId="18" xfId="0" applyFont="1" applyFill="1" applyBorder="1" applyAlignment="1" applyProtection="1">
      <alignment vertical="center"/>
      <protection hidden="1"/>
    </xf>
    <xf numFmtId="0" fontId="28" fillId="2" borderId="19" xfId="0" applyFont="1" applyFill="1" applyBorder="1" applyAlignment="1" applyProtection="1">
      <alignment horizontal="right"/>
      <protection hidden="1"/>
    </xf>
    <xf numFmtId="0" fontId="21" fillId="30" borderId="0" xfId="0" applyFont="1" applyFill="1" applyAlignment="1" applyProtection="1">
      <alignment vertical="center"/>
      <protection hidden="1"/>
    </xf>
    <xf numFmtId="1" fontId="19" fillId="8" borderId="0" xfId="11" applyNumberFormat="1" applyFont="1" applyFill="1" applyAlignment="1" applyProtection="1">
      <alignment horizontal="left" vertical="center"/>
      <protection hidden="1"/>
    </xf>
    <xf numFmtId="3" fontId="19" fillId="8" borderId="0" xfId="11" applyFont="1" applyFill="1" applyProtection="1">
      <protection hidden="1"/>
    </xf>
    <xf numFmtId="3" fontId="19" fillId="8" borderId="0" xfId="11" applyFont="1" applyFill="1" applyAlignment="1" applyProtection="1">
      <alignment horizontal="center" vertical="center"/>
      <protection hidden="1"/>
    </xf>
    <xf numFmtId="3" fontId="7" fillId="8" borderId="0" xfId="11" applyFont="1" applyFill="1" applyProtection="1">
      <protection hidden="1"/>
    </xf>
    <xf numFmtId="3" fontId="7" fillId="8" borderId="0" xfId="11" applyFont="1" applyFill="1" applyAlignment="1" applyProtection="1">
      <alignment horizontal="center" vertical="center"/>
      <protection hidden="1"/>
    </xf>
    <xf numFmtId="3" fontId="38" fillId="13" borderId="2" xfId="11" applyFont="1" applyFill="1" applyBorder="1" applyAlignment="1" applyProtection="1">
      <alignment horizontal="center" vertical="center"/>
      <protection hidden="1"/>
    </xf>
    <xf numFmtId="0" fontId="24" fillId="2" borderId="14" xfId="0" applyFont="1" applyFill="1" applyBorder="1" applyAlignment="1" applyProtection="1">
      <alignment vertical="center"/>
      <protection hidden="1"/>
    </xf>
    <xf numFmtId="0" fontId="25" fillId="2" borderId="0" xfId="0" applyFont="1" applyFill="1" applyAlignment="1" applyProtection="1">
      <alignment vertical="center"/>
      <protection hidden="1"/>
    </xf>
    <xf numFmtId="0" fontId="25" fillId="2" borderId="18" xfId="0" applyFont="1" applyFill="1" applyBorder="1" applyAlignment="1" applyProtection="1">
      <alignment vertical="center"/>
      <protection hidden="1"/>
    </xf>
    <xf numFmtId="0" fontId="24" fillId="3" borderId="11" xfId="0" applyFont="1" applyFill="1" applyBorder="1" applyAlignment="1" applyProtection="1">
      <alignment horizontal="center" vertical="center"/>
      <protection hidden="1"/>
    </xf>
    <xf numFmtId="0" fontId="24" fillId="4" borderId="11" xfId="0" applyFont="1" applyFill="1" applyBorder="1" applyAlignment="1" applyProtection="1">
      <alignment horizontal="center" vertical="center"/>
      <protection hidden="1"/>
    </xf>
    <xf numFmtId="0" fontId="22" fillId="13" borderId="11" xfId="0" applyFont="1" applyFill="1" applyBorder="1" applyAlignment="1" applyProtection="1">
      <alignment horizontal="center" vertical="center"/>
      <protection hidden="1"/>
    </xf>
    <xf numFmtId="0" fontId="22" fillId="5" borderId="11" xfId="0" applyFont="1" applyFill="1" applyBorder="1" applyAlignment="1" applyProtection="1">
      <alignment horizontal="center" vertical="center"/>
      <protection hidden="1"/>
    </xf>
    <xf numFmtId="9" fontId="26" fillId="3" borderId="22" xfId="1" applyFont="1" applyFill="1" applyBorder="1" applyAlignment="1" applyProtection="1">
      <alignment horizontal="center" vertical="center"/>
      <protection hidden="1"/>
    </xf>
    <xf numFmtId="9" fontId="26" fillId="4" borderId="22" xfId="1" applyFont="1" applyFill="1" applyBorder="1" applyAlignment="1" applyProtection="1">
      <alignment horizontal="center" vertical="center"/>
      <protection hidden="1"/>
    </xf>
    <xf numFmtId="9" fontId="29" fillId="13" borderId="22" xfId="1" applyFont="1" applyFill="1" applyBorder="1" applyAlignment="1" applyProtection="1">
      <alignment horizontal="center" vertical="center"/>
      <protection hidden="1"/>
    </xf>
    <xf numFmtId="9" fontId="29" fillId="5" borderId="22" xfId="1" applyFont="1" applyFill="1" applyBorder="1" applyAlignment="1" applyProtection="1">
      <alignment horizontal="center" vertical="center"/>
      <protection hidden="1"/>
    </xf>
    <xf numFmtId="165" fontId="25" fillId="0" borderId="10" xfId="1" applyNumberFormat="1" applyFont="1" applyBorder="1" applyAlignment="1" applyProtection="1">
      <alignment horizontal="center" vertical="center"/>
      <protection hidden="1"/>
    </xf>
    <xf numFmtId="1" fontId="27" fillId="7" borderId="11" xfId="1" applyNumberFormat="1" applyFont="1" applyFill="1" applyBorder="1" applyAlignment="1" applyProtection="1">
      <alignment horizontal="right" vertical="center"/>
      <protection hidden="1"/>
    </xf>
    <xf numFmtId="0" fontId="22" fillId="20" borderId="13" xfId="0" applyFont="1" applyFill="1" applyBorder="1" applyAlignment="1" applyProtection="1">
      <alignment horizontal="center" vertical="center"/>
      <protection hidden="1"/>
    </xf>
    <xf numFmtId="165" fontId="26" fillId="2" borderId="10" xfId="1" applyNumberFormat="1" applyFont="1" applyFill="1" applyBorder="1" applyAlignment="1" applyProtection="1">
      <alignment horizontal="center" vertical="center"/>
      <protection hidden="1"/>
    </xf>
    <xf numFmtId="173" fontId="25" fillId="30" borderId="0" xfId="0" applyNumberFormat="1" applyFont="1" applyFill="1" applyAlignment="1" applyProtection="1">
      <alignment horizontal="right" vertical="center"/>
      <protection hidden="1"/>
    </xf>
    <xf numFmtId="1" fontId="24" fillId="7" borderId="10" xfId="0" applyNumberFormat="1" applyFont="1" applyFill="1" applyBorder="1" applyAlignment="1" applyProtection="1">
      <alignment horizontal="center" vertical="center"/>
      <protection hidden="1"/>
    </xf>
    <xf numFmtId="1" fontId="24" fillId="7" borderId="22" xfId="1" applyNumberFormat="1" applyFont="1" applyFill="1" applyBorder="1" applyAlignment="1" applyProtection="1">
      <alignment horizontal="center" vertical="center"/>
      <protection hidden="1"/>
    </xf>
    <xf numFmtId="2" fontId="26" fillId="0" borderId="10" xfId="1" applyNumberFormat="1" applyFont="1" applyBorder="1" applyAlignment="1" applyProtection="1">
      <alignment horizontal="center" vertical="center"/>
      <protection hidden="1"/>
    </xf>
    <xf numFmtId="0" fontId="24" fillId="2" borderId="11" xfId="0" applyFont="1" applyFill="1" applyBorder="1" applyAlignment="1" applyProtection="1">
      <alignment horizontal="right" vertical="center"/>
      <protection hidden="1"/>
    </xf>
    <xf numFmtId="172" fontId="33" fillId="18" borderId="22" xfId="1" applyNumberFormat="1" applyFont="1" applyFill="1" applyBorder="1" applyAlignment="1" applyProtection="1">
      <alignment horizontal="center" vertical="center"/>
      <protection hidden="1"/>
    </xf>
    <xf numFmtId="172" fontId="33" fillId="8" borderId="22" xfId="1" applyNumberFormat="1" applyFont="1" applyFill="1" applyBorder="1" applyAlignment="1" applyProtection="1">
      <alignment horizontal="center" vertical="center"/>
      <protection hidden="1"/>
    </xf>
    <xf numFmtId="0" fontId="34" fillId="2" borderId="17" xfId="0" applyFont="1" applyFill="1" applyBorder="1" applyAlignment="1" applyProtection="1">
      <alignment vertical="center"/>
      <protection hidden="1"/>
    </xf>
    <xf numFmtId="0" fontId="25" fillId="22" borderId="20" xfId="0" applyFont="1" applyFill="1" applyBorder="1" applyAlignment="1" applyProtection="1">
      <alignment vertical="center"/>
      <protection hidden="1"/>
    </xf>
    <xf numFmtId="0" fontId="25" fillId="22" borderId="0" xfId="0" applyFont="1" applyFill="1" applyAlignment="1" applyProtection="1">
      <alignment vertical="center"/>
      <protection hidden="1"/>
    </xf>
    <xf numFmtId="0" fontId="25" fillId="22" borderId="21" xfId="0" applyFont="1" applyFill="1" applyBorder="1" applyAlignment="1" applyProtection="1">
      <alignment vertical="center"/>
      <protection hidden="1"/>
    </xf>
    <xf numFmtId="0" fontId="25" fillId="27" borderId="17" xfId="0" applyFont="1" applyFill="1" applyBorder="1" applyAlignment="1" applyProtection="1">
      <alignment vertical="center"/>
      <protection hidden="1"/>
    </xf>
    <xf numFmtId="0" fontId="25" fillId="27" borderId="18" xfId="0" applyFont="1" applyFill="1" applyBorder="1" applyAlignment="1" applyProtection="1">
      <alignment vertical="center"/>
      <protection hidden="1"/>
    </xf>
    <xf numFmtId="0" fontId="25" fillId="27" borderId="19" xfId="0" applyFont="1" applyFill="1" applyBorder="1" applyAlignment="1" applyProtection="1">
      <alignment vertical="center"/>
      <protection hidden="1"/>
    </xf>
    <xf numFmtId="1" fontId="24" fillId="7" borderId="22" xfId="0" applyNumberFormat="1" applyFont="1" applyFill="1" applyBorder="1" applyAlignment="1" applyProtection="1">
      <alignment horizontal="center" vertical="center"/>
      <protection hidden="1"/>
    </xf>
    <xf numFmtId="0" fontId="29" fillId="0" borderId="11" xfId="0" applyFont="1" applyBorder="1" applyAlignment="1" applyProtection="1">
      <alignment horizontal="center" vertical="center" wrapText="1"/>
      <protection hidden="1"/>
    </xf>
    <xf numFmtId="0" fontId="29" fillId="0" borderId="22" xfId="0" applyFont="1" applyBorder="1" applyAlignment="1" applyProtection="1">
      <alignment vertical="center" wrapText="1"/>
      <protection hidden="1"/>
    </xf>
    <xf numFmtId="9" fontId="29" fillId="0" borderId="22" xfId="1" applyFont="1" applyBorder="1" applyAlignment="1" applyProtection="1">
      <alignment horizontal="center" vertical="center"/>
      <protection hidden="1"/>
    </xf>
    <xf numFmtId="1" fontId="22" fillId="31" borderId="11" xfId="1" applyNumberFormat="1" applyFont="1" applyFill="1" applyBorder="1" applyAlignment="1" applyProtection="1">
      <alignment horizontal="right" vertical="center"/>
      <protection hidden="1"/>
    </xf>
    <xf numFmtId="3" fontId="29" fillId="0" borderId="10" xfId="1" applyNumberFormat="1" applyFont="1" applyBorder="1" applyAlignment="1" applyProtection="1">
      <alignment horizontal="center" vertical="center"/>
      <protection hidden="1"/>
    </xf>
    <xf numFmtId="10" fontId="29" fillId="0" borderId="10" xfId="0" quotePrefix="1" applyNumberFormat="1" applyFont="1" applyBorder="1" applyAlignment="1" applyProtection="1">
      <alignment vertical="center" wrapText="1"/>
      <protection hidden="1"/>
    </xf>
    <xf numFmtId="2" fontId="29" fillId="0" borderId="10" xfId="1" applyNumberFormat="1" applyFont="1" applyBorder="1" applyAlignment="1" applyProtection="1">
      <alignment horizontal="left" vertical="center"/>
      <protection hidden="1"/>
    </xf>
    <xf numFmtId="172" fontId="25" fillId="30" borderId="0" xfId="0" applyNumberFormat="1" applyFont="1" applyFill="1" applyAlignment="1" applyProtection="1">
      <alignment vertical="center"/>
      <protection hidden="1"/>
    </xf>
    <xf numFmtId="1" fontId="22" fillId="34" borderId="11" xfId="1" applyNumberFormat="1" applyFont="1" applyFill="1" applyBorder="1" applyAlignment="1" applyProtection="1">
      <alignment horizontal="right" vertical="center"/>
      <protection hidden="1"/>
    </xf>
    <xf numFmtId="1" fontId="22" fillId="35" borderId="11" xfId="1" applyNumberFormat="1" applyFont="1" applyFill="1" applyBorder="1" applyAlignment="1" applyProtection="1">
      <alignment horizontal="right" vertical="center"/>
      <protection hidden="1"/>
    </xf>
    <xf numFmtId="0" fontId="22" fillId="13" borderId="11" xfId="0" applyFont="1" applyFill="1" applyBorder="1" applyAlignment="1" applyProtection="1">
      <alignment horizontal="right" vertical="center"/>
      <protection hidden="1"/>
    </xf>
    <xf numFmtId="0" fontId="22" fillId="36" borderId="11" xfId="0" applyFont="1" applyFill="1" applyBorder="1" applyAlignment="1" applyProtection="1">
      <alignment horizontal="right" vertical="center"/>
      <protection hidden="1"/>
    </xf>
    <xf numFmtId="0" fontId="27" fillId="6" borderId="11" xfId="0" applyFont="1" applyFill="1" applyBorder="1" applyAlignment="1" applyProtection="1">
      <alignment horizontal="right" vertical="center"/>
      <protection hidden="1"/>
    </xf>
    <xf numFmtId="0" fontId="22" fillId="19" borderId="11" xfId="0" applyFont="1" applyFill="1" applyBorder="1" applyAlignment="1" applyProtection="1">
      <alignment horizontal="right" vertical="center"/>
      <protection hidden="1"/>
    </xf>
    <xf numFmtId="0" fontId="22" fillId="14" borderId="11" xfId="0" applyFont="1" applyFill="1" applyBorder="1" applyAlignment="1" applyProtection="1">
      <alignment horizontal="right" vertical="center"/>
      <protection hidden="1"/>
    </xf>
    <xf numFmtId="0" fontId="22" fillId="22" borderId="11" xfId="0" applyFont="1" applyFill="1" applyBorder="1" applyAlignment="1" applyProtection="1">
      <alignment horizontal="right" vertical="center"/>
      <protection hidden="1"/>
    </xf>
    <xf numFmtId="3" fontId="29" fillId="0" borderId="23" xfId="1" applyNumberFormat="1" applyFont="1" applyBorder="1" applyAlignment="1" applyProtection="1">
      <alignment horizontal="center" vertical="center"/>
      <protection hidden="1"/>
    </xf>
    <xf numFmtId="0" fontId="22" fillId="0" borderId="11" xfId="0" applyFont="1" applyBorder="1" applyAlignment="1" applyProtection="1">
      <alignment horizontal="right" vertical="center"/>
      <protection hidden="1"/>
    </xf>
    <xf numFmtId="0" fontId="22" fillId="0" borderId="12" xfId="0" applyFont="1" applyBorder="1" applyAlignment="1" applyProtection="1">
      <alignment horizontal="center" vertical="center"/>
      <protection hidden="1"/>
    </xf>
    <xf numFmtId="165" fontId="29" fillId="0" borderId="23" xfId="1" applyNumberFormat="1" applyFont="1" applyBorder="1" applyAlignment="1" applyProtection="1">
      <alignment horizontal="center" vertical="center"/>
      <protection hidden="1"/>
    </xf>
    <xf numFmtId="2" fontId="29" fillId="0" borderId="10" xfId="1" applyNumberFormat="1" applyFont="1" applyBorder="1" applyAlignment="1" applyProtection="1">
      <alignment horizontal="center" vertical="center"/>
      <protection hidden="1"/>
    </xf>
    <xf numFmtId="0" fontId="22" fillId="0" borderId="11" xfId="0" applyFont="1" applyBorder="1" applyAlignment="1" applyProtection="1">
      <alignment horizontal="center" vertical="center" wrapText="1"/>
      <protection hidden="1"/>
    </xf>
    <xf numFmtId="3" fontId="22" fillId="0" borderId="10" xfId="1" applyNumberFormat="1" applyFont="1" applyBorder="1" applyAlignment="1" applyProtection="1">
      <alignment horizontal="center" vertical="center"/>
      <protection hidden="1"/>
    </xf>
    <xf numFmtId="165" fontId="29" fillId="0" borderId="10" xfId="1" applyNumberFormat="1" applyFont="1" applyBorder="1" applyAlignment="1" applyProtection="1">
      <alignment horizontal="center" vertical="center"/>
      <protection hidden="1"/>
    </xf>
    <xf numFmtId="0" fontId="23" fillId="2" borderId="17" xfId="0" applyFont="1" applyFill="1" applyBorder="1" applyAlignment="1" applyProtection="1">
      <alignment vertical="center"/>
      <protection hidden="1"/>
    </xf>
    <xf numFmtId="3" fontId="43" fillId="2" borderId="18" xfId="0" applyNumberFormat="1" applyFont="1" applyFill="1" applyBorder="1" applyAlignment="1" applyProtection="1">
      <alignment vertical="center"/>
      <protection hidden="1"/>
    </xf>
    <xf numFmtId="0" fontId="43" fillId="2" borderId="18" xfId="0" applyFont="1" applyFill="1" applyBorder="1" applyAlignment="1" applyProtection="1">
      <alignment vertical="center"/>
      <protection hidden="1"/>
    </xf>
    <xf numFmtId="0" fontId="43" fillId="2" borderId="19" xfId="0" applyFont="1" applyFill="1" applyBorder="1" applyAlignment="1" applyProtection="1">
      <alignment vertical="center"/>
      <protection hidden="1"/>
    </xf>
    <xf numFmtId="0" fontId="34" fillId="2" borderId="18" xfId="0" applyFont="1" applyFill="1" applyBorder="1" applyAlignment="1" applyProtection="1">
      <alignment vertical="center"/>
      <protection hidden="1"/>
    </xf>
    <xf numFmtId="0" fontId="29" fillId="30" borderId="0" xfId="0" applyFont="1" applyFill="1" applyAlignment="1" applyProtection="1">
      <alignment vertical="center"/>
      <protection hidden="1"/>
    </xf>
    <xf numFmtId="0" fontId="24" fillId="0" borderId="11" xfId="0" applyFont="1" applyBorder="1" applyAlignment="1" applyProtection="1">
      <alignment vertical="center"/>
      <protection hidden="1"/>
    </xf>
    <xf numFmtId="0" fontId="24" fillId="0" borderId="13" xfId="0" applyFont="1" applyBorder="1" applyAlignment="1" applyProtection="1">
      <alignment vertical="center"/>
      <protection hidden="1"/>
    </xf>
    <xf numFmtId="0" fontId="22" fillId="0" borderId="11" xfId="0" applyFont="1" applyBorder="1" applyAlignment="1" applyProtection="1">
      <alignment vertical="center"/>
      <protection hidden="1"/>
    </xf>
    <xf numFmtId="0" fontId="22" fillId="0" borderId="12" xfId="0" applyFont="1" applyBorder="1" applyAlignment="1" applyProtection="1">
      <alignment vertical="center"/>
      <protection hidden="1"/>
    </xf>
    <xf numFmtId="0" fontId="22" fillId="0" borderId="13" xfId="0" applyFont="1" applyBorder="1" applyAlignment="1" applyProtection="1">
      <alignment vertical="center"/>
      <protection hidden="1"/>
    </xf>
    <xf numFmtId="0" fontId="22" fillId="0" borderId="23" xfId="0" applyFont="1" applyBorder="1" applyAlignment="1" applyProtection="1">
      <alignment vertical="center" wrapText="1"/>
      <protection hidden="1"/>
    </xf>
    <xf numFmtId="0" fontId="27" fillId="0" borderId="20" xfId="0" applyFont="1" applyBorder="1" applyAlignment="1" applyProtection="1">
      <alignment vertical="center"/>
      <protection hidden="1"/>
    </xf>
    <xf numFmtId="0" fontId="27" fillId="0" borderId="0" xfId="0" applyFont="1" applyAlignment="1" applyProtection="1">
      <alignment vertical="center"/>
      <protection hidden="1"/>
    </xf>
    <xf numFmtId="0" fontId="27" fillId="0" borderId="21" xfId="0" applyFont="1" applyBorder="1" applyAlignment="1" applyProtection="1">
      <alignment vertical="center"/>
      <protection hidden="1"/>
    </xf>
    <xf numFmtId="0" fontId="24" fillId="0" borderId="12" xfId="0" applyFont="1" applyBorder="1" applyAlignment="1" applyProtection="1">
      <alignment vertical="center"/>
      <protection hidden="1"/>
    </xf>
    <xf numFmtId="0" fontId="22" fillId="0" borderId="11" xfId="0" applyFont="1" applyBorder="1" applyAlignment="1" applyProtection="1">
      <alignment vertical="center" wrapText="1"/>
      <protection hidden="1"/>
    </xf>
    <xf numFmtId="0" fontId="22" fillId="0" borderId="12" xfId="0" applyFont="1" applyBorder="1" applyAlignment="1" applyProtection="1">
      <alignment vertical="center" wrapText="1"/>
      <protection hidden="1"/>
    </xf>
    <xf numFmtId="0" fontId="22" fillId="0" borderId="13" xfId="0" applyFont="1" applyBorder="1" applyAlignment="1" applyProtection="1">
      <alignment vertical="center" wrapText="1"/>
      <protection hidden="1"/>
    </xf>
    <xf numFmtId="0" fontId="22" fillId="0" borderId="24" xfId="0" applyFont="1" applyBorder="1" applyAlignment="1" applyProtection="1">
      <alignment vertical="center" wrapText="1"/>
      <protection hidden="1"/>
    </xf>
    <xf numFmtId="0" fontId="27" fillId="0" borderId="17" xfId="0" applyFont="1" applyBorder="1" applyAlignment="1" applyProtection="1">
      <alignment vertical="center"/>
      <protection hidden="1"/>
    </xf>
    <xf numFmtId="0" fontId="27" fillId="0" borderId="18" xfId="0" applyFont="1" applyBorder="1" applyAlignment="1" applyProtection="1">
      <alignment vertical="center"/>
      <protection hidden="1"/>
    </xf>
    <xf numFmtId="0" fontId="27" fillId="0" borderId="19" xfId="0" applyFont="1" applyBorder="1" applyAlignment="1" applyProtection="1">
      <alignment vertical="center"/>
      <protection hidden="1"/>
    </xf>
    <xf numFmtId="0" fontId="25" fillId="0" borderId="11" xfId="0" applyFont="1" applyBorder="1" applyAlignment="1" applyProtection="1">
      <alignment vertical="center"/>
      <protection hidden="1"/>
    </xf>
    <xf numFmtId="0" fontId="25" fillId="0" borderId="13" xfId="0" applyFont="1" applyBorder="1" applyAlignment="1" applyProtection="1">
      <alignment vertical="center"/>
      <protection hidden="1"/>
    </xf>
    <xf numFmtId="0" fontId="24" fillId="0" borderId="11" xfId="0" applyFont="1" applyBorder="1" applyAlignment="1" applyProtection="1">
      <alignment horizontal="center" vertical="center"/>
      <protection hidden="1"/>
    </xf>
    <xf numFmtId="0" fontId="22" fillId="0" borderId="11" xfId="0" applyFont="1" applyBorder="1" applyAlignment="1" applyProtection="1">
      <alignment horizontal="center" vertical="center"/>
      <protection hidden="1"/>
    </xf>
    <xf numFmtId="0" fontId="22" fillId="0" borderId="22" xfId="0" applyFont="1" applyBorder="1" applyAlignment="1" applyProtection="1">
      <alignment vertical="center" wrapText="1"/>
      <protection hidden="1"/>
    </xf>
    <xf numFmtId="9" fontId="26" fillId="0" borderId="22" xfId="1" applyFont="1" applyBorder="1" applyAlignment="1" applyProtection="1">
      <alignment horizontal="center" vertical="center"/>
      <protection hidden="1"/>
    </xf>
    <xf numFmtId="0" fontId="27" fillId="0" borderId="10" xfId="0" applyFont="1" applyBorder="1" applyAlignment="1" applyProtection="1">
      <alignment vertical="center"/>
      <protection hidden="1"/>
    </xf>
    <xf numFmtId="0" fontId="24" fillId="0" borderId="10" xfId="0" quotePrefix="1" applyFont="1" applyBorder="1" applyAlignment="1" applyProtection="1">
      <alignment vertical="center" textRotation="90" wrapText="1"/>
      <protection hidden="1"/>
    </xf>
    <xf numFmtId="1" fontId="27" fillId="0" borderId="11" xfId="1" applyNumberFormat="1" applyFont="1" applyBorder="1" applyAlignment="1" applyProtection="1">
      <alignment horizontal="right" vertical="center"/>
      <protection hidden="1"/>
    </xf>
    <xf numFmtId="0" fontId="22" fillId="0" borderId="13" xfId="0" applyFont="1" applyBorder="1" applyAlignment="1" applyProtection="1">
      <alignment horizontal="center" vertical="center"/>
      <protection hidden="1"/>
    </xf>
    <xf numFmtId="171" fontId="35" fillId="0" borderId="10" xfId="7" applyNumberFormat="1" applyFont="1" applyBorder="1" applyAlignment="1" applyProtection="1">
      <alignment horizontal="center" vertical="center"/>
      <protection hidden="1"/>
    </xf>
    <xf numFmtId="171" fontId="33" fillId="0" borderId="10" xfId="7" applyNumberFormat="1" applyFont="1" applyBorder="1" applyAlignment="1" applyProtection="1">
      <alignment horizontal="center" vertical="center"/>
      <protection hidden="1"/>
    </xf>
    <xf numFmtId="174" fontId="29" fillId="30" borderId="0" xfId="0" applyNumberFormat="1" applyFont="1" applyFill="1" applyAlignment="1" applyProtection="1">
      <alignment vertical="center"/>
      <protection hidden="1"/>
    </xf>
    <xf numFmtId="171" fontId="35" fillId="0" borderId="12" xfId="7" applyNumberFormat="1" applyFont="1" applyBorder="1" applyAlignment="1" applyProtection="1">
      <alignment horizontal="center" vertical="center"/>
      <protection hidden="1"/>
    </xf>
    <xf numFmtId="171" fontId="33" fillId="0" borderId="12" xfId="7" applyNumberFormat="1" applyFont="1" applyBorder="1" applyAlignment="1" applyProtection="1">
      <alignment horizontal="center" vertical="center"/>
      <protection hidden="1"/>
    </xf>
    <xf numFmtId="171" fontId="33" fillId="0" borderId="11" xfId="7" applyNumberFormat="1" applyFont="1" applyBorder="1" applyAlignment="1" applyProtection="1">
      <alignment horizontal="center" vertical="center"/>
      <protection hidden="1"/>
    </xf>
    <xf numFmtId="165" fontId="26" fillId="0" borderId="12" xfId="1" applyNumberFormat="1" applyFont="1" applyBorder="1" applyAlignment="1" applyProtection="1">
      <alignment horizontal="center" vertical="center"/>
      <protection hidden="1"/>
    </xf>
    <xf numFmtId="171" fontId="33" fillId="0" borderId="13" xfId="7" applyNumberFormat="1" applyFont="1" applyBorder="1" applyAlignment="1" applyProtection="1">
      <alignment horizontal="center" vertical="center"/>
      <protection hidden="1"/>
    </xf>
    <xf numFmtId="171" fontId="35" fillId="0" borderId="18" xfId="7" applyNumberFormat="1" applyFont="1" applyBorder="1" applyAlignment="1" applyProtection="1">
      <alignment horizontal="center" vertical="center"/>
      <protection hidden="1"/>
    </xf>
    <xf numFmtId="171" fontId="33" fillId="0" borderId="18" xfId="7" applyNumberFormat="1" applyFont="1" applyBorder="1" applyAlignment="1" applyProtection="1">
      <alignment horizontal="center" vertical="center"/>
      <protection hidden="1"/>
    </xf>
    <xf numFmtId="171" fontId="33" fillId="0" borderId="19" xfId="7" applyNumberFormat="1" applyFont="1" applyBorder="1" applyAlignment="1" applyProtection="1">
      <alignment horizontal="center" vertical="center"/>
      <protection hidden="1"/>
    </xf>
    <xf numFmtId="0" fontId="24" fillId="14" borderId="17" xfId="0" applyFont="1" applyFill="1" applyBorder="1" applyAlignment="1" applyProtection="1">
      <alignment horizontal="center" vertical="center"/>
      <protection hidden="1"/>
    </xf>
    <xf numFmtId="0" fontId="24" fillId="14" borderId="0" xfId="0" applyFont="1" applyFill="1" applyAlignment="1" applyProtection="1">
      <alignment horizontal="center" vertical="center"/>
      <protection hidden="1"/>
    </xf>
    <xf numFmtId="0" fontId="22" fillId="31" borderId="11" xfId="0" applyFont="1" applyFill="1" applyBorder="1" applyAlignment="1" applyProtection="1">
      <alignment horizontal="center" vertical="center" wrapText="1"/>
      <protection hidden="1"/>
    </xf>
    <xf numFmtId="0" fontId="22" fillId="27" borderId="13" xfId="0" applyFont="1" applyFill="1" applyBorder="1" applyAlignment="1" applyProtection="1">
      <alignment horizontal="center" vertical="center" wrapText="1"/>
      <protection hidden="1"/>
    </xf>
    <xf numFmtId="0" fontId="24" fillId="2" borderId="10" xfId="0" quotePrefix="1" applyFont="1" applyFill="1" applyBorder="1" applyAlignment="1" applyProtection="1">
      <alignment horizontal="center" vertical="center" wrapText="1"/>
      <protection hidden="1"/>
    </xf>
    <xf numFmtId="0" fontId="22" fillId="25" borderId="11" xfId="0" applyFont="1" applyFill="1" applyBorder="1" applyAlignment="1" applyProtection="1">
      <alignment horizontal="right" vertical="center"/>
      <protection hidden="1"/>
    </xf>
    <xf numFmtId="0" fontId="22" fillId="24" borderId="11" xfId="0" applyFont="1" applyFill="1" applyBorder="1" applyAlignment="1" applyProtection="1">
      <alignment horizontal="right" vertical="center"/>
      <protection hidden="1"/>
    </xf>
    <xf numFmtId="0" fontId="22" fillId="4" borderId="11" xfId="0" applyFont="1" applyFill="1" applyBorder="1" applyAlignment="1" applyProtection="1">
      <alignment horizontal="right" vertical="center"/>
      <protection hidden="1"/>
    </xf>
    <xf numFmtId="170" fontId="26" fillId="7" borderId="11" xfId="0" applyNumberFormat="1" applyFont="1" applyFill="1" applyBorder="1" applyAlignment="1" applyProtection="1">
      <alignment vertical="center"/>
      <protection hidden="1"/>
    </xf>
    <xf numFmtId="170" fontId="26" fillId="7" borderId="12" xfId="0" applyNumberFormat="1" applyFont="1" applyFill="1" applyBorder="1" applyAlignment="1" applyProtection="1">
      <alignment vertical="center"/>
      <protection hidden="1"/>
    </xf>
    <xf numFmtId="165" fontId="26" fillId="7" borderId="12" xfId="1" applyNumberFormat="1" applyFont="1" applyFill="1" applyBorder="1" applyAlignment="1" applyProtection="1">
      <alignment horizontal="center" vertical="center"/>
      <protection hidden="1"/>
    </xf>
    <xf numFmtId="165" fontId="26" fillId="7" borderId="13" xfId="1" applyNumberFormat="1" applyFont="1" applyFill="1" applyBorder="1" applyAlignment="1" applyProtection="1">
      <alignment horizontal="center" vertical="center"/>
      <protection hidden="1"/>
    </xf>
    <xf numFmtId="0" fontId="24" fillId="32" borderId="11" xfId="0" applyFont="1" applyFill="1" applyBorder="1" applyAlignment="1" applyProtection="1">
      <alignment horizontal="right" vertical="center"/>
      <protection hidden="1"/>
    </xf>
    <xf numFmtId="3" fontId="26" fillId="10" borderId="10" xfId="0" applyNumberFormat="1" applyFont="1" applyFill="1" applyBorder="1" applyAlignment="1" applyProtection="1">
      <alignment vertical="center"/>
      <protection hidden="1"/>
    </xf>
    <xf numFmtId="3" fontId="26" fillId="6" borderId="10" xfId="0" applyNumberFormat="1" applyFont="1" applyFill="1" applyBorder="1" applyAlignment="1" applyProtection="1">
      <alignment vertical="center"/>
      <protection hidden="1"/>
    </xf>
    <xf numFmtId="0" fontId="24" fillId="23" borderId="11" xfId="0" applyFont="1" applyFill="1" applyBorder="1" applyAlignment="1" applyProtection="1">
      <alignment horizontal="right" vertical="center"/>
      <protection hidden="1"/>
    </xf>
    <xf numFmtId="0" fontId="25" fillId="2" borderId="14" xfId="0" applyFont="1" applyFill="1" applyBorder="1" applyAlignment="1" applyProtection="1">
      <alignment vertical="center"/>
      <protection hidden="1"/>
    </xf>
    <xf numFmtId="0" fontId="25" fillId="2" borderId="15" xfId="0" applyFont="1" applyFill="1" applyBorder="1" applyAlignment="1" applyProtection="1">
      <alignment vertical="center"/>
      <protection hidden="1"/>
    </xf>
    <xf numFmtId="0" fontId="25" fillId="2" borderId="16" xfId="0" applyFont="1" applyFill="1" applyBorder="1" applyAlignment="1" applyProtection="1">
      <alignment vertical="center"/>
      <protection hidden="1"/>
    </xf>
    <xf numFmtId="0" fontId="25" fillId="2" borderId="20" xfId="0" applyFont="1" applyFill="1" applyBorder="1" applyAlignment="1" applyProtection="1">
      <alignment vertical="center"/>
      <protection hidden="1"/>
    </xf>
    <xf numFmtId="0" fontId="25" fillId="2" borderId="21" xfId="0" applyFont="1" applyFill="1" applyBorder="1" applyAlignment="1" applyProtection="1">
      <alignment vertical="center"/>
      <protection hidden="1"/>
    </xf>
    <xf numFmtId="0" fontId="25" fillId="2" borderId="17" xfId="0" applyFont="1" applyFill="1" applyBorder="1" applyAlignment="1" applyProtection="1">
      <alignment vertical="center"/>
      <protection hidden="1"/>
    </xf>
    <xf numFmtId="0" fontId="25" fillId="2" borderId="19" xfId="0" applyFont="1" applyFill="1" applyBorder="1" applyAlignment="1" applyProtection="1">
      <alignment vertical="center"/>
      <protection hidden="1"/>
    </xf>
    <xf numFmtId="0" fontId="24" fillId="2" borderId="17" xfId="0" quotePrefix="1" applyFont="1" applyFill="1" applyBorder="1" applyAlignment="1" applyProtection="1">
      <alignment horizontal="center" vertical="center" wrapText="1"/>
      <protection hidden="1"/>
    </xf>
    <xf numFmtId="0" fontId="24" fillId="2" borderId="22" xfId="0" quotePrefix="1" applyFont="1" applyFill="1" applyBorder="1" applyAlignment="1" applyProtection="1">
      <alignment horizontal="center" vertical="center" wrapText="1"/>
      <protection hidden="1"/>
    </xf>
    <xf numFmtId="165" fontId="27" fillId="2" borderId="10" xfId="1" applyNumberFormat="1" applyFont="1" applyFill="1" applyBorder="1" applyAlignment="1" applyProtection="1">
      <alignment horizontal="center" vertical="center"/>
      <protection hidden="1"/>
    </xf>
    <xf numFmtId="3" fontId="27" fillId="3" borderId="10" xfId="0" applyNumberFormat="1" applyFont="1" applyFill="1" applyBorder="1" applyAlignment="1" applyProtection="1">
      <alignment vertical="center"/>
      <protection hidden="1"/>
    </xf>
    <xf numFmtId="3" fontId="27" fillId="7" borderId="10" xfId="0" applyNumberFormat="1" applyFont="1" applyFill="1" applyBorder="1" applyAlignment="1" applyProtection="1">
      <alignment vertical="center"/>
      <protection hidden="1"/>
    </xf>
    <xf numFmtId="3" fontId="27" fillId="4" borderId="10" xfId="0" applyNumberFormat="1" applyFont="1" applyFill="1" applyBorder="1" applyAlignment="1" applyProtection="1">
      <alignment vertical="center"/>
      <protection hidden="1"/>
    </xf>
    <xf numFmtId="3" fontId="27" fillId="21" borderId="10" xfId="0" applyNumberFormat="1" applyFont="1" applyFill="1" applyBorder="1" applyAlignment="1" applyProtection="1">
      <alignment vertical="center"/>
      <protection hidden="1"/>
    </xf>
    <xf numFmtId="0" fontId="21" fillId="2" borderId="15" xfId="0" applyFont="1" applyFill="1" applyBorder="1" applyAlignment="1" applyProtection="1">
      <alignment vertical="center"/>
      <protection hidden="1"/>
    </xf>
    <xf numFmtId="0" fontId="24" fillId="2" borderId="20" xfId="0" applyFont="1" applyFill="1" applyBorder="1" applyAlignment="1" applyProtection="1">
      <alignment vertical="center"/>
      <protection hidden="1"/>
    </xf>
    <xf numFmtId="0" fontId="24" fillId="2" borderId="0" xfId="0" applyFont="1" applyFill="1" applyAlignment="1" applyProtection="1">
      <alignment vertical="center"/>
      <protection hidden="1"/>
    </xf>
    <xf numFmtId="0" fontId="21" fillId="2" borderId="18" xfId="0" applyFont="1" applyFill="1" applyBorder="1" applyAlignment="1" applyProtection="1">
      <alignment vertical="center"/>
      <protection hidden="1"/>
    </xf>
    <xf numFmtId="0" fontId="24" fillId="2" borderId="20" xfId="0" applyFont="1" applyFill="1" applyBorder="1" applyAlignment="1" applyProtection="1">
      <alignment vertical="center" wrapText="1"/>
      <protection hidden="1"/>
    </xf>
    <xf numFmtId="0" fontId="24" fillId="2" borderId="0" xfId="0" applyFont="1" applyFill="1" applyAlignment="1" applyProtection="1">
      <alignment vertical="center" wrapText="1"/>
      <protection hidden="1"/>
    </xf>
    <xf numFmtId="0" fontId="24" fillId="2" borderId="0" xfId="0" applyFont="1" applyFill="1" applyAlignment="1" applyProtection="1">
      <alignment horizontal="center" vertical="center"/>
      <protection hidden="1"/>
    </xf>
    <xf numFmtId="0" fontId="22" fillId="2" borderId="0" xfId="0" applyFont="1" applyFill="1" applyAlignment="1" applyProtection="1">
      <alignment vertical="center" wrapText="1"/>
      <protection hidden="1"/>
    </xf>
    <xf numFmtId="0" fontId="22" fillId="2" borderId="21" xfId="0" applyFont="1" applyFill="1" applyBorder="1" applyAlignment="1" applyProtection="1">
      <alignment vertical="center" wrapText="1"/>
      <protection hidden="1"/>
    </xf>
    <xf numFmtId="0" fontId="22" fillId="2" borderId="0" xfId="0" applyFont="1" applyFill="1" applyAlignment="1" applyProtection="1">
      <alignment horizontal="center" vertical="center" wrapText="1"/>
      <protection hidden="1"/>
    </xf>
    <xf numFmtId="0" fontId="24" fillId="2" borderId="0" xfId="0" quotePrefix="1" applyFont="1" applyFill="1" applyAlignment="1" applyProtection="1">
      <alignment horizontal="center" vertical="center" wrapText="1"/>
      <protection hidden="1"/>
    </xf>
    <xf numFmtId="0" fontId="24" fillId="2" borderId="21" xfId="0" quotePrefix="1" applyFont="1" applyFill="1" applyBorder="1" applyAlignment="1" applyProtection="1">
      <alignment horizontal="center" vertical="center" wrapText="1"/>
      <protection hidden="1"/>
    </xf>
    <xf numFmtId="0" fontId="22" fillId="2" borderId="20" xfId="0" applyFont="1" applyFill="1" applyBorder="1" applyAlignment="1" applyProtection="1">
      <alignment horizontal="right" vertical="center"/>
      <protection hidden="1"/>
    </xf>
    <xf numFmtId="0" fontId="22" fillId="2" borderId="0" xfId="0" applyFont="1" applyFill="1" applyAlignment="1" applyProtection="1">
      <alignment horizontal="center" vertical="center"/>
      <protection hidden="1"/>
    </xf>
    <xf numFmtId="170" fontId="26" fillId="2" borderId="0" xfId="0" applyNumberFormat="1" applyFont="1" applyFill="1" applyAlignment="1" applyProtection="1">
      <alignment vertical="center"/>
      <protection hidden="1"/>
    </xf>
    <xf numFmtId="165" fontId="26" fillId="2" borderId="0" xfId="1" applyNumberFormat="1" applyFont="1" applyFill="1" applyAlignment="1" applyProtection="1">
      <alignment horizontal="center" vertical="center"/>
      <protection hidden="1"/>
    </xf>
    <xf numFmtId="165" fontId="26" fillId="2" borderId="21" xfId="1" applyNumberFormat="1" applyFont="1" applyFill="1" applyBorder="1" applyAlignment="1" applyProtection="1">
      <alignment horizontal="center" vertical="center"/>
      <protection hidden="1"/>
    </xf>
    <xf numFmtId="171" fontId="26" fillId="2" borderId="0" xfId="0" applyNumberFormat="1" applyFont="1" applyFill="1" applyAlignment="1" applyProtection="1">
      <alignment vertical="center"/>
      <protection hidden="1"/>
    </xf>
    <xf numFmtId="0" fontId="24" fillId="2" borderId="20" xfId="0" applyFont="1" applyFill="1" applyBorder="1" applyAlignment="1" applyProtection="1">
      <alignment horizontal="right" vertical="center"/>
      <protection hidden="1"/>
    </xf>
    <xf numFmtId="3" fontId="26" fillId="2" borderId="0" xfId="0" applyNumberFormat="1" applyFont="1" applyFill="1" applyAlignment="1" applyProtection="1">
      <alignment vertical="center"/>
      <protection hidden="1"/>
    </xf>
    <xf numFmtId="0" fontId="22" fillId="2" borderId="20" xfId="0" applyFont="1" applyFill="1" applyBorder="1" applyAlignment="1" applyProtection="1">
      <alignment vertical="center"/>
      <protection hidden="1"/>
    </xf>
    <xf numFmtId="0" fontId="22" fillId="2" borderId="0" xfId="0" applyFont="1" applyFill="1" applyAlignment="1" applyProtection="1">
      <alignment vertical="center"/>
      <protection hidden="1"/>
    </xf>
    <xf numFmtId="0" fontId="22" fillId="2" borderId="21" xfId="0" applyFont="1" applyFill="1" applyBorder="1" applyAlignment="1" applyProtection="1">
      <alignment vertical="center"/>
      <protection hidden="1"/>
    </xf>
    <xf numFmtId="0" fontId="22" fillId="6" borderId="20" xfId="0" applyFont="1" applyFill="1" applyBorder="1" applyAlignment="1" applyProtection="1">
      <alignment vertical="center"/>
      <protection hidden="1"/>
    </xf>
    <xf numFmtId="0" fontId="22" fillId="6" borderId="0" xfId="0" applyFont="1" applyFill="1" applyAlignment="1" applyProtection="1">
      <alignment vertical="center"/>
      <protection hidden="1"/>
    </xf>
    <xf numFmtId="0" fontId="24" fillId="6" borderId="20" xfId="0" applyFont="1" applyFill="1" applyBorder="1" applyAlignment="1" applyProtection="1">
      <alignment vertical="center"/>
      <protection hidden="1"/>
    </xf>
    <xf numFmtId="0" fontId="24" fillId="6" borderId="0" xfId="0" applyFont="1" applyFill="1" applyAlignment="1" applyProtection="1">
      <alignment vertical="center"/>
      <protection hidden="1"/>
    </xf>
    <xf numFmtId="0" fontId="24" fillId="6" borderId="21" xfId="0" applyFont="1" applyFill="1" applyBorder="1" applyAlignment="1" applyProtection="1">
      <alignment vertical="center"/>
      <protection hidden="1"/>
    </xf>
    <xf numFmtId="0" fontId="22" fillId="6" borderId="0" xfId="0" applyFont="1" applyFill="1" applyAlignment="1" applyProtection="1">
      <alignment horizontal="center" vertical="center" wrapText="1"/>
      <protection hidden="1"/>
    </xf>
    <xf numFmtId="0" fontId="24" fillId="6" borderId="0" xfId="0" quotePrefix="1" applyFont="1" applyFill="1" applyAlignment="1" applyProtection="1">
      <alignment horizontal="center" vertical="center" wrapText="1"/>
      <protection hidden="1"/>
    </xf>
    <xf numFmtId="171" fontId="26" fillId="6" borderId="0" xfId="0" applyNumberFormat="1" applyFont="1" applyFill="1" applyAlignment="1" applyProtection="1">
      <alignment vertical="center"/>
      <protection hidden="1"/>
    </xf>
    <xf numFmtId="165" fontId="26" fillId="6" borderId="0" xfId="1" applyNumberFormat="1" applyFont="1" applyFill="1" applyAlignment="1" applyProtection="1">
      <alignment horizontal="center" vertical="center"/>
      <protection hidden="1"/>
    </xf>
    <xf numFmtId="3" fontId="26" fillId="6" borderId="0" xfId="0" applyNumberFormat="1" applyFont="1" applyFill="1" applyAlignment="1" applyProtection="1">
      <alignment vertical="center"/>
      <protection hidden="1"/>
    </xf>
    <xf numFmtId="0" fontId="25" fillId="21" borderId="20" xfId="0" applyFont="1" applyFill="1" applyBorder="1" applyAlignment="1" applyProtection="1">
      <alignment vertical="center"/>
      <protection hidden="1"/>
    </xf>
    <xf numFmtId="0" fontId="25" fillId="21" borderId="0" xfId="0" applyFont="1" applyFill="1" applyAlignment="1" applyProtection="1">
      <alignment vertical="center"/>
      <protection hidden="1"/>
    </xf>
    <xf numFmtId="171" fontId="27" fillId="21" borderId="0" xfId="0" applyNumberFormat="1" applyFont="1" applyFill="1" applyAlignment="1" applyProtection="1">
      <alignment vertical="center"/>
      <protection hidden="1"/>
    </xf>
    <xf numFmtId="165" fontId="27" fillId="21" borderId="0" xfId="1" applyNumberFormat="1" applyFont="1" applyFill="1" applyAlignment="1" applyProtection="1">
      <alignment horizontal="center" vertical="center"/>
      <protection hidden="1"/>
    </xf>
    <xf numFmtId="0" fontId="22" fillId="21" borderId="0" xfId="0" applyFont="1" applyFill="1" applyAlignment="1" applyProtection="1">
      <alignment vertical="center"/>
      <protection hidden="1"/>
    </xf>
    <xf numFmtId="3" fontId="27" fillId="21" borderId="0" xfId="0" applyNumberFormat="1" applyFont="1" applyFill="1" applyAlignment="1" applyProtection="1">
      <alignment vertical="center"/>
      <protection hidden="1"/>
    </xf>
    <xf numFmtId="0" fontId="25" fillId="21" borderId="21" xfId="0" applyFont="1" applyFill="1" applyBorder="1" applyAlignment="1" applyProtection="1">
      <alignment vertical="center"/>
      <protection hidden="1"/>
    </xf>
    <xf numFmtId="171" fontId="26" fillId="21" borderId="0" xfId="0" applyNumberFormat="1" applyFont="1" applyFill="1" applyAlignment="1" applyProtection="1">
      <alignment vertical="center"/>
      <protection hidden="1"/>
    </xf>
    <xf numFmtId="165" fontId="26" fillId="21" borderId="0" xfId="1" applyNumberFormat="1" applyFont="1" applyFill="1" applyAlignment="1" applyProtection="1">
      <alignment horizontal="center" vertical="center"/>
      <protection hidden="1"/>
    </xf>
    <xf numFmtId="3" fontId="26" fillId="21" borderId="0" xfId="0" applyNumberFormat="1" applyFont="1" applyFill="1" applyAlignment="1" applyProtection="1">
      <alignment vertical="center"/>
      <protection hidden="1"/>
    </xf>
    <xf numFmtId="0" fontId="25" fillId="21" borderId="17" xfId="0" applyFont="1" applyFill="1" applyBorder="1" applyAlignment="1" applyProtection="1">
      <alignment vertical="center"/>
      <protection hidden="1"/>
    </xf>
    <xf numFmtId="0" fontId="25" fillId="21" borderId="18" xfId="0" applyFont="1" applyFill="1" applyBorder="1" applyAlignment="1" applyProtection="1">
      <alignment vertical="center"/>
      <protection hidden="1"/>
    </xf>
    <xf numFmtId="171" fontId="27" fillId="21" borderId="18" xfId="0" applyNumberFormat="1" applyFont="1" applyFill="1" applyBorder="1" applyAlignment="1" applyProtection="1">
      <alignment vertical="center"/>
      <protection hidden="1"/>
    </xf>
    <xf numFmtId="165" fontId="27" fillId="21" borderId="18" xfId="1" applyNumberFormat="1" applyFont="1" applyFill="1" applyBorder="1" applyAlignment="1" applyProtection="1">
      <alignment horizontal="center" vertical="center"/>
      <protection hidden="1"/>
    </xf>
    <xf numFmtId="0" fontId="22" fillId="21" borderId="18" xfId="0" applyFont="1" applyFill="1" applyBorder="1" applyAlignment="1" applyProtection="1">
      <alignment vertical="center"/>
      <protection hidden="1"/>
    </xf>
    <xf numFmtId="3" fontId="27" fillId="21" borderId="18" xfId="0" applyNumberFormat="1" applyFont="1" applyFill="1" applyBorder="1" applyAlignment="1" applyProtection="1">
      <alignment vertical="center"/>
      <protection hidden="1"/>
    </xf>
    <xf numFmtId="0" fontId="25" fillId="21" borderId="19" xfId="0" applyFont="1" applyFill="1" applyBorder="1" applyAlignment="1" applyProtection="1">
      <alignment vertical="center"/>
      <protection hidden="1"/>
    </xf>
    <xf numFmtId="0" fontId="22" fillId="27" borderId="11" xfId="0" applyFont="1" applyFill="1" applyBorder="1" applyAlignment="1" applyProtection="1">
      <alignment horizontal="right" vertical="center"/>
      <protection hidden="1"/>
    </xf>
    <xf numFmtId="171" fontId="33" fillId="0" borderId="10" xfId="1" applyNumberFormat="1" applyFont="1" applyBorder="1" applyAlignment="1" applyProtection="1">
      <alignment horizontal="center" vertical="center"/>
      <protection hidden="1"/>
    </xf>
    <xf numFmtId="0" fontId="31" fillId="26" borderId="14" xfId="0" applyFont="1" applyFill="1" applyBorder="1" applyAlignment="1" applyProtection="1">
      <alignment vertical="center"/>
      <protection hidden="1"/>
    </xf>
    <xf numFmtId="0" fontId="31" fillId="26" borderId="17" xfId="0" applyFont="1" applyFill="1" applyBorder="1" applyAlignment="1" applyProtection="1">
      <alignment vertical="center"/>
      <protection hidden="1"/>
    </xf>
    <xf numFmtId="0" fontId="25" fillId="26" borderId="18" xfId="0" applyFont="1" applyFill="1" applyBorder="1" applyAlignment="1" applyProtection="1">
      <alignment vertical="center"/>
      <protection hidden="1"/>
    </xf>
    <xf numFmtId="0" fontId="24" fillId="26" borderId="18" xfId="0" applyFont="1" applyFill="1" applyBorder="1" applyAlignment="1" applyProtection="1">
      <alignment vertical="center"/>
      <protection hidden="1"/>
    </xf>
    <xf numFmtId="0" fontId="30" fillId="28" borderId="14" xfId="0" applyFont="1" applyFill="1" applyBorder="1" applyAlignment="1" applyProtection="1">
      <alignment vertical="center"/>
      <protection hidden="1"/>
    </xf>
    <xf numFmtId="0" fontId="30" fillId="28" borderId="17" xfId="0" applyFont="1" applyFill="1" applyBorder="1" applyAlignment="1" applyProtection="1">
      <alignment vertical="center"/>
      <protection hidden="1"/>
    </xf>
    <xf numFmtId="0" fontId="46" fillId="28" borderId="18" xfId="0" applyFont="1" applyFill="1" applyBorder="1" applyAlignment="1" applyProtection="1">
      <alignment vertical="center"/>
      <protection hidden="1"/>
    </xf>
    <xf numFmtId="0" fontId="30" fillId="28" borderId="18" xfId="0" applyFont="1" applyFill="1" applyBorder="1" applyAlignment="1" applyProtection="1">
      <alignment vertical="center"/>
      <protection hidden="1"/>
    </xf>
    <xf numFmtId="0" fontId="30" fillId="13" borderId="14" xfId="0" applyFont="1" applyFill="1" applyBorder="1" applyAlignment="1" applyProtection="1">
      <alignment vertical="center"/>
      <protection hidden="1"/>
    </xf>
    <xf numFmtId="0" fontId="30" fillId="13" borderId="17" xfId="0" applyFont="1" applyFill="1" applyBorder="1" applyAlignment="1" applyProtection="1">
      <alignment vertical="center"/>
      <protection hidden="1"/>
    </xf>
    <xf numFmtId="0" fontId="46" fillId="13" borderId="18" xfId="0" applyFont="1" applyFill="1" applyBorder="1" applyAlignment="1" applyProtection="1">
      <alignment vertical="center"/>
      <protection hidden="1"/>
    </xf>
    <xf numFmtId="0" fontId="30" fillId="13" borderId="18" xfId="0" applyFont="1" applyFill="1" applyBorder="1" applyAlignment="1" applyProtection="1">
      <alignment vertical="center"/>
      <protection hidden="1"/>
    </xf>
    <xf numFmtId="0" fontId="30" fillId="24" borderId="14" xfId="0" applyFont="1" applyFill="1" applyBorder="1" applyAlignment="1" applyProtection="1">
      <alignment vertical="center"/>
      <protection hidden="1"/>
    </xf>
    <xf numFmtId="0" fontId="30" fillId="24" borderId="17" xfId="0" applyFont="1" applyFill="1" applyBorder="1" applyAlignment="1" applyProtection="1">
      <alignment vertical="center"/>
      <protection hidden="1"/>
    </xf>
    <xf numFmtId="0" fontId="46" fillId="24" borderId="18" xfId="0" applyFont="1" applyFill="1" applyBorder="1" applyAlignment="1" applyProtection="1">
      <alignment vertical="center"/>
      <protection hidden="1"/>
    </xf>
    <xf numFmtId="0" fontId="30" fillId="24" borderId="18" xfId="0" applyFont="1" applyFill="1" applyBorder="1" applyAlignment="1" applyProtection="1">
      <alignment vertical="center"/>
      <protection hidden="1"/>
    </xf>
    <xf numFmtId="0" fontId="30" fillId="25" borderId="14" xfId="0" applyFont="1" applyFill="1" applyBorder="1" applyAlignment="1" applyProtection="1">
      <alignment vertical="center"/>
      <protection hidden="1"/>
    </xf>
    <xf numFmtId="0" fontId="30" fillId="25" borderId="17" xfId="0" applyFont="1" applyFill="1" applyBorder="1" applyAlignment="1" applyProtection="1">
      <alignment vertical="center"/>
      <protection hidden="1"/>
    </xf>
    <xf numFmtId="0" fontId="46" fillId="25" borderId="18" xfId="0" applyFont="1" applyFill="1" applyBorder="1" applyAlignment="1" applyProtection="1">
      <alignment vertical="center"/>
      <protection hidden="1"/>
    </xf>
    <xf numFmtId="0" fontId="30" fillId="25" borderId="18" xfId="0" applyFont="1" applyFill="1" applyBorder="1" applyAlignment="1" applyProtection="1">
      <alignment vertical="center"/>
      <protection hidden="1"/>
    </xf>
    <xf numFmtId="0" fontId="25" fillId="26" borderId="15" xfId="0" applyFont="1" applyFill="1" applyBorder="1" applyAlignment="1" applyProtection="1">
      <alignment vertical="center"/>
      <protection hidden="1"/>
    </xf>
    <xf numFmtId="0" fontId="25" fillId="26" borderId="16" xfId="0" applyFont="1" applyFill="1" applyBorder="1" applyAlignment="1" applyProtection="1">
      <alignment vertical="center"/>
      <protection hidden="1"/>
    </xf>
    <xf numFmtId="0" fontId="24" fillId="26" borderId="19" xfId="0" applyFont="1" applyFill="1" applyBorder="1" applyAlignment="1" applyProtection="1">
      <alignment vertical="center"/>
      <protection hidden="1"/>
    </xf>
    <xf numFmtId="0" fontId="46" fillId="25" borderId="15" xfId="0" applyFont="1" applyFill="1" applyBorder="1" applyAlignment="1" applyProtection="1">
      <alignment vertical="center"/>
      <protection hidden="1"/>
    </xf>
    <xf numFmtId="0" fontId="46" fillId="25" borderId="16" xfId="0" applyFont="1" applyFill="1" applyBorder="1" applyAlignment="1" applyProtection="1">
      <alignment vertical="center"/>
      <protection hidden="1"/>
    </xf>
    <xf numFmtId="0" fontId="30" fillId="25" borderId="19" xfId="0" applyFont="1" applyFill="1" applyBorder="1" applyAlignment="1" applyProtection="1">
      <alignment vertical="center"/>
      <protection hidden="1"/>
    </xf>
    <xf numFmtId="0" fontId="46" fillId="24" borderId="15" xfId="0" applyFont="1" applyFill="1" applyBorder="1" applyAlignment="1" applyProtection="1">
      <alignment vertical="center"/>
      <protection hidden="1"/>
    </xf>
    <xf numFmtId="0" fontId="46" fillId="24" borderId="16" xfId="0" applyFont="1" applyFill="1" applyBorder="1" applyAlignment="1" applyProtection="1">
      <alignment vertical="center"/>
      <protection hidden="1"/>
    </xf>
    <xf numFmtId="0" fontId="30" fillId="24" borderId="19" xfId="0" applyFont="1" applyFill="1" applyBorder="1" applyAlignment="1" applyProtection="1">
      <alignment vertical="center"/>
      <protection hidden="1"/>
    </xf>
    <xf numFmtId="0" fontId="46" fillId="13" borderId="15" xfId="0" applyFont="1" applyFill="1" applyBorder="1" applyAlignment="1" applyProtection="1">
      <alignment vertical="center"/>
      <protection hidden="1"/>
    </xf>
    <xf numFmtId="0" fontId="46" fillId="13" borderId="16" xfId="0" applyFont="1" applyFill="1" applyBorder="1" applyAlignment="1" applyProtection="1">
      <alignment vertical="center"/>
      <protection hidden="1"/>
    </xf>
    <xf numFmtId="0" fontId="30" fillId="13" borderId="19" xfId="0" applyFont="1" applyFill="1" applyBorder="1" applyAlignment="1" applyProtection="1">
      <alignment vertical="center"/>
      <protection hidden="1"/>
    </xf>
    <xf numFmtId="0" fontId="46" fillId="28" borderId="15" xfId="0" applyFont="1" applyFill="1" applyBorder="1" applyAlignment="1" applyProtection="1">
      <alignment vertical="center"/>
      <protection hidden="1"/>
    </xf>
    <xf numFmtId="0" fontId="22" fillId="18" borderId="14" xfId="0" applyFont="1" applyFill="1" applyBorder="1" applyAlignment="1" applyProtection="1">
      <alignment vertical="center"/>
      <protection hidden="1"/>
    </xf>
    <xf numFmtId="0" fontId="29" fillId="18" borderId="15" xfId="0" applyFont="1" applyFill="1" applyBorder="1" applyAlignment="1" applyProtection="1">
      <alignment vertical="center"/>
      <protection hidden="1"/>
    </xf>
    <xf numFmtId="0" fontId="22" fillId="18" borderId="17" xfId="0" applyFont="1" applyFill="1" applyBorder="1" applyAlignment="1" applyProtection="1">
      <alignment vertical="center"/>
      <protection hidden="1"/>
    </xf>
    <xf numFmtId="0" fontId="29" fillId="18" borderId="18" xfId="0" applyFont="1" applyFill="1" applyBorder="1" applyAlignment="1" applyProtection="1">
      <alignment vertical="center"/>
      <protection hidden="1"/>
    </xf>
    <xf numFmtId="0" fontId="22" fillId="18" borderId="18" xfId="0" applyFont="1" applyFill="1" applyBorder="1" applyAlignment="1" applyProtection="1">
      <alignment vertical="center"/>
      <protection hidden="1"/>
    </xf>
    <xf numFmtId="0" fontId="24" fillId="23" borderId="14" xfId="0" applyFont="1" applyFill="1" applyBorder="1" applyAlignment="1">
      <alignment vertical="center"/>
    </xf>
    <xf numFmtId="0" fontId="25" fillId="23" borderId="15" xfId="0" applyFont="1" applyFill="1" applyBorder="1" applyAlignment="1">
      <alignment vertical="center"/>
    </xf>
    <xf numFmtId="0" fontId="25" fillId="23" borderId="16" xfId="0" applyFont="1" applyFill="1" applyBorder="1" applyAlignment="1">
      <alignment vertical="center"/>
    </xf>
    <xf numFmtId="0" fontId="24" fillId="23" borderId="17" xfId="0" applyFont="1" applyFill="1" applyBorder="1" applyAlignment="1">
      <alignment vertical="center"/>
    </xf>
    <xf numFmtId="0" fontId="25" fillId="23" borderId="18" xfId="0" applyFont="1" applyFill="1" applyBorder="1" applyAlignment="1">
      <alignment vertical="center"/>
    </xf>
    <xf numFmtId="0" fontId="24" fillId="23" borderId="18" xfId="0" applyFont="1" applyFill="1" applyBorder="1" applyAlignment="1">
      <alignment vertical="center"/>
    </xf>
    <xf numFmtId="0" fontId="24" fillId="23" borderId="19" xfId="0" applyFont="1" applyFill="1" applyBorder="1" applyAlignment="1">
      <alignment vertical="center"/>
    </xf>
    <xf numFmtId="173" fontId="25" fillId="27" borderId="18" xfId="0" applyNumberFormat="1" applyFont="1" applyFill="1" applyBorder="1" applyAlignment="1" applyProtection="1">
      <alignment vertical="center"/>
      <protection hidden="1"/>
    </xf>
    <xf numFmtId="0" fontId="30" fillId="40" borderId="14" xfId="0" applyFont="1" applyFill="1" applyBorder="1" applyAlignment="1" applyProtection="1">
      <alignment vertical="center"/>
      <protection hidden="1"/>
    </xf>
    <xf numFmtId="0" fontId="46" fillId="40" borderId="15" xfId="0" applyFont="1" applyFill="1" applyBorder="1" applyAlignment="1" applyProtection="1">
      <alignment vertical="center"/>
      <protection hidden="1"/>
    </xf>
    <xf numFmtId="0" fontId="30" fillId="40" borderId="17" xfId="0" applyFont="1" applyFill="1" applyBorder="1" applyAlignment="1" applyProtection="1">
      <alignment vertical="center"/>
      <protection hidden="1"/>
    </xf>
    <xf numFmtId="0" fontId="46" fillId="40" borderId="18" xfId="0" applyFont="1" applyFill="1" applyBorder="1" applyAlignment="1" applyProtection="1">
      <alignment vertical="center"/>
      <protection hidden="1"/>
    </xf>
    <xf numFmtId="0" fontId="30" fillId="40" borderId="18" xfId="0" applyFont="1" applyFill="1" applyBorder="1" applyAlignment="1" applyProtection="1">
      <alignment vertical="center"/>
      <protection hidden="1"/>
    </xf>
    <xf numFmtId="0" fontId="22" fillId="0" borderId="0" xfId="0" applyFont="1" applyAlignment="1" applyProtection="1">
      <alignment horizontal="center" vertical="center"/>
      <protection hidden="1"/>
    </xf>
    <xf numFmtId="9" fontId="29" fillId="0" borderId="0" xfId="1" applyFont="1" applyAlignment="1" applyProtection="1">
      <alignment horizontal="center" vertical="center"/>
      <protection hidden="1"/>
    </xf>
    <xf numFmtId="9" fontId="29" fillId="0" borderId="21" xfId="1" applyFont="1" applyBorder="1" applyAlignment="1" applyProtection="1">
      <alignment horizontal="center" vertical="center"/>
      <protection hidden="1"/>
    </xf>
    <xf numFmtId="165" fontId="25" fillId="0" borderId="0" xfId="1" applyNumberFormat="1" applyFont="1" applyAlignment="1" applyProtection="1">
      <alignment horizontal="center" vertical="center"/>
      <protection hidden="1"/>
    </xf>
    <xf numFmtId="165" fontId="26" fillId="0" borderId="21" xfId="1" applyNumberFormat="1" applyFont="1" applyBorder="1" applyAlignment="1" applyProtection="1">
      <alignment horizontal="center" vertical="center"/>
      <protection hidden="1"/>
    </xf>
    <xf numFmtId="171" fontId="33" fillId="0" borderId="0" xfId="7" applyNumberFormat="1" applyFont="1" applyAlignment="1" applyProtection="1">
      <alignment horizontal="center" vertical="center"/>
      <protection hidden="1"/>
    </xf>
    <xf numFmtId="171" fontId="35" fillId="0" borderId="0" xfId="7" applyNumberFormat="1" applyFont="1" applyAlignment="1" applyProtection="1">
      <alignment horizontal="center" vertical="center"/>
      <protection hidden="1"/>
    </xf>
    <xf numFmtId="171" fontId="33" fillId="0" borderId="21" xfId="7" applyNumberFormat="1" applyFont="1" applyBorder="1" applyAlignment="1" applyProtection="1">
      <alignment horizontal="center" vertical="center"/>
      <protection hidden="1"/>
    </xf>
    <xf numFmtId="165" fontId="26" fillId="0" borderId="20" xfId="1" applyNumberFormat="1" applyFont="1" applyBorder="1" applyAlignment="1" applyProtection="1">
      <alignment horizontal="center" vertical="center"/>
      <protection hidden="1"/>
    </xf>
    <xf numFmtId="0" fontId="24" fillId="0" borderId="0" xfId="0" applyFont="1" applyAlignment="1" applyProtection="1">
      <alignment horizontal="center" vertical="center"/>
      <protection hidden="1"/>
    </xf>
    <xf numFmtId="165" fontId="25" fillId="0" borderId="21" xfId="1" applyNumberFormat="1" applyFont="1" applyBorder="1" applyAlignment="1" applyProtection="1">
      <alignment horizontal="center" vertical="center"/>
      <protection hidden="1"/>
    </xf>
    <xf numFmtId="0" fontId="22" fillId="0" borderId="15" xfId="0" applyFont="1" applyBorder="1" applyAlignment="1" applyProtection="1">
      <alignment vertical="center" wrapText="1"/>
      <protection hidden="1"/>
    </xf>
    <xf numFmtId="0" fontId="22" fillId="0" borderId="16" xfId="0" applyFont="1" applyBorder="1" applyAlignment="1" applyProtection="1">
      <alignment vertical="center" wrapText="1"/>
      <protection hidden="1"/>
    </xf>
    <xf numFmtId="0" fontId="22" fillId="0" borderId="14" xfId="0" applyFont="1" applyBorder="1" applyAlignment="1" applyProtection="1">
      <alignment vertical="center" wrapText="1"/>
      <protection hidden="1"/>
    </xf>
    <xf numFmtId="0" fontId="22" fillId="0" borderId="21" xfId="0" applyFont="1" applyBorder="1" applyAlignment="1" applyProtection="1">
      <alignment vertical="center"/>
      <protection hidden="1"/>
    </xf>
    <xf numFmtId="0" fontId="29" fillId="0" borderId="0" xfId="0" applyFont="1" applyAlignment="1" applyProtection="1">
      <alignment vertical="center"/>
      <protection hidden="1"/>
    </xf>
    <xf numFmtId="0" fontId="22" fillId="0" borderId="21" xfId="0" applyFont="1" applyBorder="1" applyAlignment="1" applyProtection="1">
      <alignment horizontal="center" vertical="center"/>
      <protection hidden="1"/>
    </xf>
    <xf numFmtId="165" fontId="29" fillId="0" borderId="0" xfId="1" applyNumberFormat="1" applyFont="1" applyAlignment="1" applyProtection="1">
      <alignment horizontal="center" vertical="center"/>
      <protection hidden="1"/>
    </xf>
    <xf numFmtId="165" fontId="29" fillId="0" borderId="21" xfId="1" applyNumberFormat="1" applyFont="1" applyBorder="1" applyAlignment="1" applyProtection="1">
      <alignment horizontal="center" vertical="center"/>
      <protection hidden="1"/>
    </xf>
    <xf numFmtId="0" fontId="29" fillId="0" borderId="21" xfId="0" applyFont="1" applyBorder="1" applyAlignment="1" applyProtection="1">
      <alignment vertical="center"/>
      <protection hidden="1"/>
    </xf>
    <xf numFmtId="0" fontId="22" fillId="0" borderId="18" xfId="0" applyFont="1" applyBorder="1" applyAlignment="1" applyProtection="1">
      <alignment vertical="center" wrapText="1"/>
      <protection hidden="1"/>
    </xf>
    <xf numFmtId="0" fontId="24" fillId="0" borderId="14" xfId="0" applyFont="1" applyBorder="1" applyAlignment="1" applyProtection="1">
      <alignment vertical="center"/>
      <protection hidden="1"/>
    </xf>
    <xf numFmtId="0" fontId="24" fillId="0" borderId="15" xfId="0" applyFont="1" applyBorder="1" applyAlignment="1" applyProtection="1">
      <alignment vertical="center"/>
      <protection hidden="1"/>
    </xf>
    <xf numFmtId="1" fontId="27" fillId="0" borderId="20" xfId="1" applyNumberFormat="1" applyFont="1" applyBorder="1" applyAlignment="1" applyProtection="1">
      <alignment horizontal="right" vertical="center"/>
      <protection hidden="1"/>
    </xf>
    <xf numFmtId="1" fontId="24" fillId="0" borderId="0" xfId="0" applyNumberFormat="1" applyFont="1" applyAlignment="1" applyProtection="1">
      <alignment horizontal="center" vertical="center"/>
      <protection hidden="1"/>
    </xf>
    <xf numFmtId="1" fontId="24" fillId="0" borderId="0" xfId="1" applyNumberFormat="1" applyFont="1" applyAlignment="1" applyProtection="1">
      <alignment horizontal="center" vertical="center"/>
      <protection hidden="1"/>
    </xf>
    <xf numFmtId="1" fontId="24" fillId="0" borderId="21" xfId="1" applyNumberFormat="1" applyFont="1" applyBorder="1" applyAlignment="1" applyProtection="1">
      <alignment horizontal="center" vertical="center"/>
      <protection hidden="1"/>
    </xf>
    <xf numFmtId="1" fontId="24" fillId="0" borderId="20" xfId="1" applyNumberFormat="1" applyFont="1" applyBorder="1" applyAlignment="1" applyProtection="1">
      <alignment horizontal="center" vertical="center"/>
      <protection hidden="1"/>
    </xf>
    <xf numFmtId="171" fontId="35" fillId="0" borderId="0" xfId="7" applyNumberFormat="1" applyFont="1" applyAlignment="1" applyProtection="1">
      <alignment vertical="center"/>
      <protection hidden="1"/>
    </xf>
    <xf numFmtId="171" fontId="35" fillId="0" borderId="21" xfId="7" applyNumberFormat="1" applyFont="1" applyBorder="1" applyAlignment="1" applyProtection="1">
      <alignment vertical="center"/>
      <protection hidden="1"/>
    </xf>
    <xf numFmtId="1" fontId="22" fillId="0" borderId="20" xfId="1" applyNumberFormat="1" applyFont="1" applyBorder="1" applyAlignment="1" applyProtection="1">
      <alignment vertical="center"/>
      <protection hidden="1"/>
    </xf>
    <xf numFmtId="1" fontId="22" fillId="0" borderId="0" xfId="1" applyNumberFormat="1" applyFont="1" applyAlignment="1" applyProtection="1">
      <alignment vertical="center"/>
      <protection hidden="1"/>
    </xf>
    <xf numFmtId="1" fontId="27" fillId="0" borderId="17" xfId="1" applyNumberFormat="1" applyFont="1" applyBorder="1" applyAlignment="1" applyProtection="1">
      <alignment vertical="center"/>
      <protection hidden="1"/>
    </xf>
    <xf numFmtId="1" fontId="27" fillId="0" borderId="18" xfId="1" applyNumberFormat="1" applyFont="1" applyBorder="1" applyAlignment="1" applyProtection="1">
      <alignment vertical="center"/>
      <protection hidden="1"/>
    </xf>
    <xf numFmtId="165" fontId="26" fillId="0" borderId="18" xfId="1" applyNumberFormat="1" applyFont="1" applyBorder="1" applyAlignment="1" applyProtection="1">
      <alignment horizontal="center" vertical="center"/>
      <protection hidden="1"/>
    </xf>
    <xf numFmtId="165" fontId="26" fillId="0" borderId="19" xfId="1" applyNumberFormat="1" applyFont="1" applyBorder="1" applyAlignment="1" applyProtection="1">
      <alignment horizontal="center" vertical="center"/>
      <protection hidden="1"/>
    </xf>
    <xf numFmtId="165" fontId="26" fillId="0" borderId="17" xfId="1" applyNumberFormat="1" applyFont="1" applyBorder="1" applyAlignment="1" applyProtection="1">
      <alignment horizontal="center" vertical="center"/>
      <protection hidden="1"/>
    </xf>
    <xf numFmtId="0" fontId="30" fillId="41" borderId="14" xfId="0" applyFont="1" applyFill="1" applyBorder="1" applyAlignment="1" applyProtection="1">
      <alignment vertical="center"/>
      <protection hidden="1"/>
    </xf>
    <xf numFmtId="0" fontId="46" fillId="41" borderId="15" xfId="0" applyFont="1" applyFill="1" applyBorder="1" applyAlignment="1" applyProtection="1">
      <alignment vertical="center"/>
      <protection hidden="1"/>
    </xf>
    <xf numFmtId="0" fontId="30" fillId="41" borderId="17" xfId="0" applyFont="1" applyFill="1" applyBorder="1" applyAlignment="1" applyProtection="1">
      <alignment vertical="center"/>
      <protection hidden="1"/>
    </xf>
    <xf numFmtId="0" fontId="46" fillId="41" borderId="18" xfId="0" applyFont="1" applyFill="1" applyBorder="1" applyAlignment="1" applyProtection="1">
      <alignment vertical="center"/>
      <protection hidden="1"/>
    </xf>
    <xf numFmtId="0" fontId="30" fillId="41" borderId="18" xfId="0" applyFont="1" applyFill="1" applyBorder="1" applyAlignment="1" applyProtection="1">
      <alignment vertical="center"/>
      <protection hidden="1"/>
    </xf>
    <xf numFmtId="171" fontId="33" fillId="0" borderId="21" xfId="7" applyNumberFormat="1" applyFont="1" applyBorder="1" applyAlignment="1" applyProtection="1">
      <alignment vertical="center"/>
      <protection hidden="1"/>
    </xf>
    <xf numFmtId="1" fontId="22" fillId="0" borderId="17" xfId="1" applyNumberFormat="1" applyFont="1" applyBorder="1" applyAlignment="1" applyProtection="1">
      <alignment vertical="center"/>
      <protection hidden="1"/>
    </xf>
    <xf numFmtId="1" fontId="22" fillId="0" borderId="18" xfId="1" applyNumberFormat="1" applyFont="1" applyBorder="1" applyAlignment="1" applyProtection="1">
      <alignment vertical="center"/>
      <protection hidden="1"/>
    </xf>
    <xf numFmtId="165" fontId="29" fillId="0" borderId="18" xfId="1" applyNumberFormat="1" applyFont="1" applyBorder="1" applyAlignment="1" applyProtection="1">
      <alignment horizontal="center" vertical="center"/>
      <protection hidden="1"/>
    </xf>
    <xf numFmtId="165" fontId="29" fillId="0" borderId="19" xfId="1" applyNumberFormat="1" applyFont="1" applyBorder="1" applyAlignment="1" applyProtection="1">
      <alignment horizontal="center" vertical="center"/>
      <protection hidden="1"/>
    </xf>
    <xf numFmtId="165" fontId="29" fillId="0" borderId="17" xfId="1" applyNumberFormat="1" applyFont="1" applyBorder="1" applyAlignment="1" applyProtection="1">
      <alignment horizontal="center" vertical="center"/>
      <protection hidden="1"/>
    </xf>
    <xf numFmtId="0" fontId="27" fillId="2" borderId="25" xfId="0" applyFont="1" applyFill="1" applyBorder="1" applyAlignment="1" applyProtection="1">
      <alignment horizontal="right" vertical="center"/>
      <protection hidden="1"/>
    </xf>
    <xf numFmtId="0" fontId="48" fillId="13" borderId="25" xfId="0" applyFont="1" applyFill="1" applyBorder="1" applyAlignment="1" applyProtection="1">
      <alignment horizontal="center" vertical="center" wrapText="1"/>
      <protection hidden="1"/>
    </xf>
    <xf numFmtId="0" fontId="48" fillId="25" borderId="25" xfId="0" applyFont="1" applyFill="1" applyBorder="1" applyAlignment="1" applyProtection="1">
      <alignment horizontal="center" vertical="center" wrapText="1"/>
      <protection hidden="1"/>
    </xf>
    <xf numFmtId="0" fontId="48" fillId="24" borderId="25" xfId="0" applyFont="1" applyFill="1" applyBorder="1" applyAlignment="1" applyProtection="1">
      <alignment horizontal="center" vertical="center" wrapText="1"/>
      <protection hidden="1"/>
    </xf>
    <xf numFmtId="0" fontId="48" fillId="29" borderId="25" xfId="0" applyFont="1" applyFill="1" applyBorder="1" applyAlignment="1" applyProtection="1">
      <alignment horizontal="center" vertical="center" wrapText="1"/>
      <protection hidden="1"/>
    </xf>
    <xf numFmtId="0" fontId="25" fillId="11" borderId="25" xfId="0" applyFont="1" applyFill="1" applyBorder="1" applyAlignment="1" applyProtection="1">
      <alignment vertical="center"/>
      <protection hidden="1"/>
    </xf>
    <xf numFmtId="172" fontId="25" fillId="11" borderId="25" xfId="0" applyNumberFormat="1" applyFont="1" applyFill="1" applyBorder="1" applyAlignment="1" applyProtection="1">
      <alignment vertical="center"/>
      <protection hidden="1"/>
    </xf>
    <xf numFmtId="3" fontId="25" fillId="11" borderId="25" xfId="0" applyNumberFormat="1" applyFont="1" applyFill="1" applyBorder="1" applyAlignment="1" applyProtection="1">
      <alignment vertical="center"/>
      <protection hidden="1"/>
    </xf>
    <xf numFmtId="0" fontId="25" fillId="17" borderId="25" xfId="0" applyFont="1" applyFill="1" applyBorder="1" applyAlignment="1" applyProtection="1">
      <alignment vertical="center"/>
      <protection hidden="1"/>
    </xf>
    <xf numFmtId="172" fontId="25" fillId="17" borderId="25" xfId="0" applyNumberFormat="1" applyFont="1" applyFill="1" applyBorder="1" applyAlignment="1" applyProtection="1">
      <alignment vertical="center"/>
      <protection hidden="1"/>
    </xf>
    <xf numFmtId="3" fontId="25" fillId="17" borderId="25" xfId="0" applyNumberFormat="1" applyFont="1" applyFill="1" applyBorder="1" applyAlignment="1" applyProtection="1">
      <alignment vertical="center"/>
      <protection hidden="1"/>
    </xf>
    <xf numFmtId="0" fontId="25" fillId="16" borderId="25" xfId="0" applyFont="1" applyFill="1" applyBorder="1" applyAlignment="1" applyProtection="1">
      <alignment vertical="center"/>
      <protection hidden="1"/>
    </xf>
    <xf numFmtId="172" fontId="25" fillId="16" borderId="25" xfId="0" applyNumberFormat="1" applyFont="1" applyFill="1" applyBorder="1" applyAlignment="1" applyProtection="1">
      <alignment vertical="center"/>
      <protection hidden="1"/>
    </xf>
    <xf numFmtId="3" fontId="25" fillId="16" borderId="25" xfId="0" applyNumberFormat="1" applyFont="1" applyFill="1" applyBorder="1" applyAlignment="1" applyProtection="1">
      <alignment vertical="center"/>
      <protection hidden="1"/>
    </xf>
    <xf numFmtId="0" fontId="22" fillId="24" borderId="25" xfId="0" applyFont="1" applyFill="1" applyBorder="1" applyAlignment="1" applyProtection="1">
      <alignment vertical="center"/>
      <protection hidden="1"/>
    </xf>
    <xf numFmtId="172" fontId="22" fillId="24" borderId="25" xfId="0" applyNumberFormat="1" applyFont="1" applyFill="1" applyBorder="1" applyAlignment="1" applyProtection="1">
      <alignment vertical="center"/>
      <protection hidden="1"/>
    </xf>
    <xf numFmtId="3" fontId="22" fillId="24" borderId="25" xfId="0" applyNumberFormat="1" applyFont="1" applyFill="1" applyBorder="1" applyAlignment="1" applyProtection="1">
      <alignment vertical="center"/>
      <protection hidden="1"/>
    </xf>
    <xf numFmtId="0" fontId="25" fillId="9" borderId="25" xfId="0" applyFont="1" applyFill="1" applyBorder="1" applyAlignment="1" applyProtection="1">
      <alignment vertical="center"/>
      <protection hidden="1"/>
    </xf>
    <xf numFmtId="172" fontId="25" fillId="9" borderId="25" xfId="0" applyNumberFormat="1" applyFont="1" applyFill="1" applyBorder="1" applyAlignment="1" applyProtection="1">
      <alignment vertical="center"/>
      <protection hidden="1"/>
    </xf>
    <xf numFmtId="3" fontId="25" fillId="9" borderId="25" xfId="0" applyNumberFormat="1" applyFont="1" applyFill="1" applyBorder="1" applyAlignment="1" applyProtection="1">
      <alignment vertical="center"/>
      <protection hidden="1"/>
    </xf>
    <xf numFmtId="0" fontId="22" fillId="8" borderId="25" xfId="0" applyFont="1" applyFill="1" applyBorder="1" applyAlignment="1" applyProtection="1">
      <alignment vertical="center"/>
      <protection hidden="1"/>
    </xf>
    <xf numFmtId="172" fontId="29" fillId="8" borderId="25" xfId="0" applyNumberFormat="1" applyFont="1" applyFill="1" applyBorder="1" applyAlignment="1" applyProtection="1">
      <alignment vertical="center"/>
      <protection hidden="1"/>
    </xf>
    <xf numFmtId="3" fontId="29" fillId="8" borderId="25" xfId="0" applyNumberFormat="1" applyFont="1" applyFill="1" applyBorder="1" applyAlignment="1" applyProtection="1">
      <alignment vertical="center"/>
      <protection hidden="1"/>
    </xf>
    <xf numFmtId="2" fontId="24" fillId="30" borderId="0" xfId="0" applyNumberFormat="1" applyFont="1" applyFill="1" applyAlignment="1" applyProtection="1">
      <alignment horizontal="center" vertical="center"/>
      <protection hidden="1"/>
    </xf>
    <xf numFmtId="2" fontId="22" fillId="30" borderId="0" xfId="0" applyNumberFormat="1" applyFont="1" applyFill="1" applyAlignment="1" applyProtection="1">
      <alignment horizontal="center" vertical="center"/>
      <protection hidden="1"/>
    </xf>
    <xf numFmtId="0" fontId="22" fillId="30" borderId="0" xfId="0" applyFont="1" applyFill="1" applyAlignment="1" applyProtection="1">
      <alignment horizontal="center" vertical="center"/>
      <protection hidden="1"/>
    </xf>
    <xf numFmtId="4" fontId="27" fillId="0" borderId="0" xfId="0" applyNumberFormat="1" applyFont="1" applyAlignment="1" applyProtection="1">
      <alignment vertical="center"/>
      <protection hidden="1"/>
    </xf>
    <xf numFmtId="4" fontId="27" fillId="0" borderId="0" xfId="0" applyNumberFormat="1" applyFont="1" applyAlignment="1" applyProtection="1">
      <alignment horizontal="center" vertical="center"/>
      <protection hidden="1"/>
    </xf>
    <xf numFmtId="4" fontId="27" fillId="0" borderId="0" xfId="1" applyNumberFormat="1" applyFont="1" applyAlignment="1" applyProtection="1">
      <alignment horizontal="center" vertical="center"/>
      <protection hidden="1"/>
    </xf>
    <xf numFmtId="4" fontId="27" fillId="0" borderId="21" xfId="1" applyNumberFormat="1" applyFont="1" applyBorder="1" applyAlignment="1" applyProtection="1">
      <alignment horizontal="center" vertical="center"/>
      <protection hidden="1"/>
    </xf>
    <xf numFmtId="1" fontId="27" fillId="0" borderId="20" xfId="1" applyNumberFormat="1" applyFont="1" applyBorder="1" applyAlignment="1" applyProtection="1">
      <alignment vertical="center"/>
      <protection hidden="1"/>
    </xf>
    <xf numFmtId="4" fontId="27" fillId="0" borderId="0" xfId="1" applyNumberFormat="1" applyFont="1" applyAlignment="1" applyProtection="1">
      <alignment vertical="center"/>
      <protection hidden="1"/>
    </xf>
    <xf numFmtId="4" fontId="26" fillId="0" borderId="0" xfId="1" applyNumberFormat="1" applyFont="1" applyAlignment="1" applyProtection="1">
      <alignment horizontal="center" vertical="center"/>
      <protection hidden="1"/>
    </xf>
    <xf numFmtId="4" fontId="26" fillId="0" borderId="21" xfId="1" applyNumberFormat="1" applyFont="1" applyBorder="1" applyAlignment="1" applyProtection="1">
      <alignment horizontal="center" vertical="center"/>
      <protection hidden="1"/>
    </xf>
    <xf numFmtId="173" fontId="22" fillId="0" borderId="14" xfId="0" applyNumberFormat="1" applyFont="1" applyBorder="1" applyAlignment="1" applyProtection="1">
      <alignment horizontal="left" vertical="center" wrapText="1"/>
      <protection hidden="1"/>
    </xf>
    <xf numFmtId="173" fontId="22" fillId="0" borderId="15" xfId="0" applyNumberFormat="1" applyFont="1" applyBorder="1" applyAlignment="1" applyProtection="1">
      <alignment vertical="center" wrapText="1"/>
      <protection hidden="1"/>
    </xf>
    <xf numFmtId="173" fontId="22" fillId="0" borderId="15" xfId="0" applyNumberFormat="1" applyFont="1" applyBorder="1" applyAlignment="1" applyProtection="1">
      <alignment horizontal="center" vertical="center" wrapText="1"/>
      <protection hidden="1"/>
    </xf>
    <xf numFmtId="173" fontId="22" fillId="0" borderId="16" xfId="0" applyNumberFormat="1" applyFont="1" applyBorder="1" applyAlignment="1" applyProtection="1">
      <alignment vertical="center" wrapText="1"/>
      <protection hidden="1"/>
    </xf>
    <xf numFmtId="173" fontId="22" fillId="0" borderId="14" xfId="0" applyNumberFormat="1" applyFont="1" applyBorder="1" applyAlignment="1" applyProtection="1">
      <alignment vertical="center" wrapText="1"/>
      <protection hidden="1"/>
    </xf>
    <xf numFmtId="173" fontId="22" fillId="0" borderId="20" xfId="0" applyNumberFormat="1" applyFont="1" applyBorder="1" applyAlignment="1" applyProtection="1">
      <alignment horizontal="left" vertical="center"/>
      <protection hidden="1"/>
    </xf>
    <xf numFmtId="173" fontId="22" fillId="0" borderId="0" xfId="0" applyNumberFormat="1" applyFont="1" applyAlignment="1" applyProtection="1">
      <alignment vertical="center"/>
      <protection hidden="1"/>
    </xf>
    <xf numFmtId="173" fontId="47" fillId="0" borderId="0" xfId="0" applyNumberFormat="1" applyFont="1" applyAlignment="1" applyProtection="1">
      <alignment vertical="center"/>
      <protection hidden="1"/>
    </xf>
    <xf numFmtId="173" fontId="22" fillId="0" borderId="21" xfId="0" applyNumberFormat="1" applyFont="1" applyBorder="1" applyAlignment="1" applyProtection="1">
      <alignment vertical="center"/>
      <protection hidden="1"/>
    </xf>
    <xf numFmtId="173" fontId="22" fillId="0" borderId="20" xfId="0" applyNumberFormat="1" applyFont="1" applyBorder="1" applyAlignment="1" applyProtection="1">
      <alignment vertical="center"/>
      <protection hidden="1"/>
    </xf>
    <xf numFmtId="173" fontId="22" fillId="0" borderId="0" xfId="0" applyNumberFormat="1" applyFont="1" applyAlignment="1" applyProtection="1">
      <alignment vertical="center" wrapText="1"/>
      <protection hidden="1"/>
    </xf>
    <xf numFmtId="173" fontId="22" fillId="0" borderId="21" xfId="0" applyNumberFormat="1" applyFont="1" applyBorder="1" applyAlignment="1" applyProtection="1">
      <alignment vertical="center" wrapText="1"/>
      <protection hidden="1"/>
    </xf>
    <xf numFmtId="173" fontId="22" fillId="0" borderId="20" xfId="0" applyNumberFormat="1" applyFont="1" applyBorder="1" applyAlignment="1" applyProtection="1">
      <alignment vertical="center" wrapText="1"/>
      <protection hidden="1"/>
    </xf>
    <xf numFmtId="173" fontId="29" fillId="0" borderId="20" xfId="0" applyNumberFormat="1" applyFont="1" applyBorder="1" applyAlignment="1" applyProtection="1">
      <alignment horizontal="left" vertical="center"/>
      <protection hidden="1"/>
    </xf>
    <xf numFmtId="173" fontId="29" fillId="0" borderId="0" xfId="0" applyNumberFormat="1" applyFont="1" applyAlignment="1" applyProtection="1">
      <alignment vertical="center"/>
      <protection hidden="1"/>
    </xf>
    <xf numFmtId="173" fontId="22" fillId="0" borderId="0" xfId="0" applyNumberFormat="1" applyFont="1" applyAlignment="1" applyProtection="1">
      <alignment horizontal="center" vertical="center"/>
      <protection hidden="1"/>
    </xf>
    <xf numFmtId="173" fontId="22" fillId="0" borderId="21" xfId="0" applyNumberFormat="1" applyFont="1" applyBorder="1" applyAlignment="1" applyProtection="1">
      <alignment horizontal="center" vertical="center"/>
      <protection hidden="1"/>
    </xf>
    <xf numFmtId="173" fontId="22" fillId="0" borderId="20" xfId="0" applyNumberFormat="1" applyFont="1" applyBorder="1" applyAlignment="1" applyProtection="1">
      <alignment horizontal="center" vertical="center"/>
      <protection hidden="1"/>
    </xf>
    <xf numFmtId="173" fontId="29" fillId="0" borderId="0" xfId="1" applyNumberFormat="1" applyFont="1" applyAlignment="1" applyProtection="1">
      <alignment horizontal="center" vertical="center"/>
      <protection hidden="1"/>
    </xf>
    <xf numFmtId="173" fontId="29" fillId="0" borderId="21" xfId="1" applyNumberFormat="1" applyFont="1" applyBorder="1" applyAlignment="1" applyProtection="1">
      <alignment horizontal="center" vertical="center"/>
      <protection hidden="1"/>
    </xf>
    <xf numFmtId="173" fontId="29" fillId="0" borderId="20" xfId="1" applyNumberFormat="1" applyFont="1" applyBorder="1" applyAlignment="1" applyProtection="1">
      <alignment horizontal="center" vertical="center"/>
      <protection hidden="1"/>
    </xf>
    <xf numFmtId="173" fontId="22" fillId="0" borderId="0" xfId="0" quotePrefix="1" applyNumberFormat="1" applyFont="1" applyAlignment="1" applyProtection="1">
      <alignment vertical="center" textRotation="90" wrapText="1"/>
      <protection hidden="1"/>
    </xf>
    <xf numFmtId="173" fontId="22" fillId="0" borderId="20" xfId="1" applyNumberFormat="1" applyFont="1" applyBorder="1" applyAlignment="1" applyProtection="1">
      <alignment horizontal="left" vertical="center"/>
      <protection hidden="1"/>
    </xf>
    <xf numFmtId="173" fontId="22" fillId="0" borderId="17" xfId="0" applyNumberFormat="1" applyFont="1" applyBorder="1" applyAlignment="1" applyProtection="1">
      <alignment horizontal="left" vertical="center" wrapText="1"/>
      <protection hidden="1"/>
    </xf>
    <xf numFmtId="173" fontId="22" fillId="0" borderId="18" xfId="0" applyNumberFormat="1" applyFont="1" applyBorder="1" applyAlignment="1" applyProtection="1">
      <alignment vertical="center" wrapText="1"/>
      <protection hidden="1"/>
    </xf>
    <xf numFmtId="173" fontId="22" fillId="0" borderId="19" xfId="0" applyNumberFormat="1" applyFont="1" applyBorder="1" applyAlignment="1" applyProtection="1">
      <alignment vertical="center" wrapText="1"/>
      <protection hidden="1"/>
    </xf>
    <xf numFmtId="173" fontId="22" fillId="0" borderId="17" xfId="0" applyNumberFormat="1" applyFont="1" applyBorder="1" applyAlignment="1" applyProtection="1">
      <alignment vertical="center" wrapText="1"/>
      <protection hidden="1"/>
    </xf>
    <xf numFmtId="173" fontId="47" fillId="0" borderId="0" xfId="1" applyNumberFormat="1" applyFont="1" applyAlignment="1" applyProtection="1">
      <alignment vertical="center"/>
      <protection hidden="1"/>
    </xf>
    <xf numFmtId="173" fontId="33" fillId="0" borderId="0" xfId="7" applyNumberFormat="1" applyFont="1" applyAlignment="1" applyProtection="1">
      <alignment horizontal="center" vertical="center"/>
      <protection hidden="1"/>
    </xf>
    <xf numFmtId="173" fontId="33" fillId="0" borderId="21" xfId="7" applyNumberFormat="1" applyFont="1" applyBorder="1" applyAlignment="1" applyProtection="1">
      <alignment horizontal="center" vertical="center"/>
      <protection hidden="1"/>
    </xf>
    <xf numFmtId="173" fontId="33" fillId="0" borderId="20" xfId="7" applyNumberFormat="1" applyFont="1" applyBorder="1" applyAlignment="1" applyProtection="1">
      <alignment horizontal="center" vertical="center"/>
      <protection hidden="1"/>
    </xf>
    <xf numFmtId="173" fontId="29" fillId="0" borderId="21" xfId="0" applyNumberFormat="1" applyFont="1" applyBorder="1" applyAlignment="1" applyProtection="1">
      <alignment vertical="center"/>
      <protection hidden="1"/>
    </xf>
    <xf numFmtId="173" fontId="29" fillId="0" borderId="20" xfId="0" applyNumberFormat="1" applyFont="1" applyBorder="1" applyAlignment="1" applyProtection="1">
      <alignment vertical="center"/>
      <protection hidden="1"/>
    </xf>
    <xf numFmtId="3" fontId="19" fillId="0" borderId="0" xfId="11" applyFont="1" applyProtection="1">
      <protection hidden="1"/>
    </xf>
    <xf numFmtId="3" fontId="7" fillId="0" borderId="0" xfId="11" applyFont="1" applyProtection="1">
      <protection hidden="1"/>
    </xf>
    <xf numFmtId="3" fontId="38" fillId="0" borderId="2" xfId="11" applyFont="1" applyBorder="1" applyAlignment="1" applyProtection="1">
      <alignment horizontal="center" vertical="center"/>
      <protection hidden="1"/>
    </xf>
    <xf numFmtId="3" fontId="39" fillId="0" borderId="0" xfId="11" applyFont="1"/>
    <xf numFmtId="0" fontId="30" fillId="42" borderId="14" xfId="0" applyFont="1" applyFill="1" applyBorder="1" applyAlignment="1" applyProtection="1">
      <alignment vertical="center"/>
      <protection hidden="1"/>
    </xf>
    <xf numFmtId="0" fontId="46" fillId="42" borderId="15" xfId="0" applyFont="1" applyFill="1" applyBorder="1" applyAlignment="1" applyProtection="1">
      <alignment vertical="center"/>
      <protection hidden="1"/>
    </xf>
    <xf numFmtId="0" fontId="30" fillId="42" borderId="17" xfId="0" applyFont="1" applyFill="1" applyBorder="1" applyAlignment="1" applyProtection="1">
      <alignment vertical="center"/>
      <protection hidden="1"/>
    </xf>
    <xf numFmtId="0" fontId="46" fillId="42" borderId="18" xfId="0" applyFont="1" applyFill="1" applyBorder="1" applyAlignment="1" applyProtection="1">
      <alignment vertical="center"/>
      <protection hidden="1"/>
    </xf>
    <xf numFmtId="0" fontId="30" fillId="42" borderId="18" xfId="0" applyFont="1" applyFill="1" applyBorder="1" applyAlignment="1" applyProtection="1">
      <alignment vertical="center"/>
      <protection hidden="1"/>
    </xf>
    <xf numFmtId="0" fontId="24" fillId="0" borderId="11" xfId="0" applyFont="1" applyBorder="1" applyAlignment="1" applyProtection="1">
      <alignment vertical="center" wrapText="1"/>
      <protection hidden="1"/>
    </xf>
    <xf numFmtId="0" fontId="24" fillId="0" borderId="12" xfId="0" applyFont="1" applyBorder="1" applyAlignment="1" applyProtection="1">
      <alignment vertical="center" wrapText="1"/>
      <protection hidden="1"/>
    </xf>
    <xf numFmtId="0" fontId="24" fillId="0" borderId="13" xfId="0" applyFont="1" applyBorder="1" applyAlignment="1" applyProtection="1">
      <alignment vertical="center" wrapText="1"/>
      <protection hidden="1"/>
    </xf>
    <xf numFmtId="171" fontId="35" fillId="0" borderId="15" xfId="7" applyNumberFormat="1" applyFont="1" applyBorder="1" applyAlignment="1" applyProtection="1">
      <alignment vertical="center"/>
      <protection hidden="1"/>
    </xf>
    <xf numFmtId="171" fontId="35" fillId="0" borderId="16" xfId="7" applyNumberFormat="1" applyFont="1" applyBorder="1" applyAlignment="1" applyProtection="1">
      <alignment vertical="center"/>
      <protection hidden="1"/>
    </xf>
    <xf numFmtId="171" fontId="35" fillId="0" borderId="18" xfId="7" applyNumberFormat="1" applyFont="1" applyBorder="1" applyAlignment="1" applyProtection="1">
      <alignment vertical="center"/>
      <protection hidden="1"/>
    </xf>
    <xf numFmtId="171" fontId="35" fillId="0" borderId="19" xfId="7" applyNumberFormat="1" applyFont="1" applyBorder="1" applyAlignment="1" applyProtection="1">
      <alignment vertical="center"/>
      <protection hidden="1"/>
    </xf>
    <xf numFmtId="0" fontId="27" fillId="0" borderId="11" xfId="0" applyFont="1" applyBorder="1" applyAlignment="1" applyProtection="1">
      <alignment vertical="center"/>
      <protection hidden="1"/>
    </xf>
    <xf numFmtId="0" fontId="27" fillId="0" borderId="12" xfId="0" applyFont="1" applyBorder="1" applyAlignment="1" applyProtection="1">
      <alignment vertical="center"/>
      <protection hidden="1"/>
    </xf>
    <xf numFmtId="0" fontId="27" fillId="0" borderId="13" xfId="0" applyFont="1" applyBorder="1" applyAlignment="1" applyProtection="1">
      <alignment vertical="center"/>
      <protection hidden="1"/>
    </xf>
    <xf numFmtId="1" fontId="24" fillId="0" borderId="10" xfId="0" applyNumberFormat="1" applyFont="1" applyBorder="1" applyAlignment="1" applyProtection="1">
      <alignment horizontal="center" vertical="center"/>
      <protection hidden="1"/>
    </xf>
    <xf numFmtId="1" fontId="24" fillId="0" borderId="22" xfId="1" applyNumberFormat="1" applyFont="1" applyBorder="1" applyAlignment="1" applyProtection="1">
      <alignment horizontal="center" vertical="center"/>
      <protection hidden="1"/>
    </xf>
    <xf numFmtId="1" fontId="22" fillId="0" borderId="11" xfId="1" applyNumberFormat="1" applyFont="1" applyBorder="1" applyAlignment="1" applyProtection="1">
      <alignment vertical="center"/>
      <protection hidden="1"/>
    </xf>
    <xf numFmtId="1" fontId="22" fillId="0" borderId="12" xfId="1" applyNumberFormat="1" applyFont="1" applyBorder="1" applyAlignment="1" applyProtection="1">
      <alignment vertical="center"/>
      <protection hidden="1"/>
    </xf>
    <xf numFmtId="1" fontId="27" fillId="0" borderId="11" xfId="1" applyNumberFormat="1" applyFont="1" applyBorder="1" applyAlignment="1" applyProtection="1">
      <alignment vertical="center"/>
      <protection hidden="1"/>
    </xf>
    <xf numFmtId="1" fontId="27" fillId="0" borderId="12" xfId="1" applyNumberFormat="1" applyFont="1" applyBorder="1" applyAlignment="1" applyProtection="1">
      <alignment vertical="center"/>
      <protection hidden="1"/>
    </xf>
    <xf numFmtId="0" fontId="30" fillId="43" borderId="14" xfId="0" applyFont="1" applyFill="1" applyBorder="1" applyAlignment="1" applyProtection="1">
      <alignment vertical="center"/>
      <protection hidden="1"/>
    </xf>
    <xf numFmtId="0" fontId="46" fillId="43" borderId="15" xfId="0" applyFont="1" applyFill="1" applyBorder="1" applyAlignment="1" applyProtection="1">
      <alignment vertical="center"/>
      <protection hidden="1"/>
    </xf>
    <xf numFmtId="0" fontId="30" fillId="43" borderId="17" xfId="0" applyFont="1" applyFill="1" applyBorder="1" applyAlignment="1" applyProtection="1">
      <alignment vertical="center"/>
      <protection hidden="1"/>
    </xf>
    <xf numFmtId="0" fontId="46" fillId="43" borderId="18" xfId="0" applyFont="1" applyFill="1" applyBorder="1" applyAlignment="1" applyProtection="1">
      <alignment vertical="center"/>
      <protection hidden="1"/>
    </xf>
    <xf numFmtId="0" fontId="30" fillId="43" borderId="18" xfId="0" applyFont="1" applyFill="1" applyBorder="1" applyAlignment="1" applyProtection="1">
      <alignment vertical="center"/>
      <protection hidden="1"/>
    </xf>
    <xf numFmtId="0" fontId="30" fillId="43" borderId="15" xfId="0" applyFont="1" applyFill="1" applyBorder="1" applyAlignment="1" applyProtection="1">
      <alignment vertical="center" wrapText="1"/>
      <protection hidden="1"/>
    </xf>
    <xf numFmtId="0" fontId="30" fillId="43" borderId="18" xfId="0" applyFont="1" applyFill="1" applyBorder="1" applyAlignment="1" applyProtection="1">
      <alignment vertical="center" wrapText="1"/>
      <protection hidden="1"/>
    </xf>
    <xf numFmtId="0" fontId="30" fillId="19" borderId="14" xfId="0" applyFont="1" applyFill="1" applyBorder="1" applyAlignment="1" applyProtection="1">
      <alignment vertical="center"/>
      <protection hidden="1"/>
    </xf>
    <xf numFmtId="0" fontId="46" fillId="19" borderId="15" xfId="0" applyFont="1" applyFill="1" applyBorder="1" applyAlignment="1" applyProtection="1">
      <alignment vertical="center"/>
      <protection hidden="1"/>
    </xf>
    <xf numFmtId="0" fontId="30" fillId="19" borderId="15" xfId="0" applyFont="1" applyFill="1" applyBorder="1" applyAlignment="1" applyProtection="1">
      <alignment vertical="center" wrapText="1"/>
      <protection hidden="1"/>
    </xf>
    <xf numFmtId="0" fontId="30" fillId="19" borderId="17" xfId="0" applyFont="1" applyFill="1" applyBorder="1" applyAlignment="1" applyProtection="1">
      <alignment vertical="center"/>
      <protection hidden="1"/>
    </xf>
    <xf numFmtId="0" fontId="46" fillId="19" borderId="18" xfId="0" applyFont="1" applyFill="1" applyBorder="1" applyAlignment="1" applyProtection="1">
      <alignment vertical="center"/>
      <protection hidden="1"/>
    </xf>
    <xf numFmtId="0" fontId="30" fillId="19" borderId="18" xfId="0" applyFont="1" applyFill="1" applyBorder="1" applyAlignment="1" applyProtection="1">
      <alignment vertical="center"/>
      <protection hidden="1"/>
    </xf>
    <xf numFmtId="0" fontId="30" fillId="19" borderId="18" xfId="0" applyFont="1" applyFill="1" applyBorder="1" applyAlignment="1" applyProtection="1">
      <alignment vertical="center" wrapText="1"/>
      <protection hidden="1"/>
    </xf>
    <xf numFmtId="0" fontId="49" fillId="0" borderId="17" xfId="0" applyFont="1" applyBorder="1" applyAlignment="1" applyProtection="1">
      <alignment vertical="top" wrapText="1"/>
      <protection hidden="1"/>
    </xf>
    <xf numFmtId="0" fontId="49" fillId="0" borderId="18" xfId="0" applyFont="1" applyBorder="1" applyAlignment="1" applyProtection="1">
      <alignment vertical="top" wrapText="1"/>
      <protection hidden="1"/>
    </xf>
    <xf numFmtId="0" fontId="49" fillId="0" borderId="20" xfId="0" applyFont="1" applyBorder="1" applyAlignment="1" applyProtection="1">
      <alignment vertical="top" wrapText="1"/>
      <protection hidden="1"/>
    </xf>
    <xf numFmtId="0" fontId="49" fillId="0" borderId="0" xfId="0" applyFont="1" applyAlignment="1" applyProtection="1">
      <alignment vertical="top" wrapText="1"/>
      <protection hidden="1"/>
    </xf>
    <xf numFmtId="0" fontId="49" fillId="0" borderId="21" xfId="0" applyFont="1" applyBorder="1" applyAlignment="1" applyProtection="1">
      <alignment vertical="top" wrapText="1"/>
      <protection hidden="1"/>
    </xf>
    <xf numFmtId="0" fontId="49" fillId="0" borderId="19" xfId="0" applyFont="1" applyBorder="1" applyAlignment="1" applyProtection="1">
      <alignment vertical="top" wrapText="1"/>
      <protection hidden="1"/>
    </xf>
    <xf numFmtId="0" fontId="50" fillId="0" borderId="14" xfId="0" applyFont="1" applyBorder="1" applyAlignment="1" applyProtection="1">
      <alignment vertical="center" wrapText="1"/>
      <protection hidden="1"/>
    </xf>
    <xf numFmtId="0" fontId="50" fillId="0" borderId="15" xfId="0" applyFont="1" applyBorder="1" applyAlignment="1" applyProtection="1">
      <alignment vertical="center" wrapText="1"/>
      <protection hidden="1"/>
    </xf>
    <xf numFmtId="0" fontId="50" fillId="0" borderId="16" xfId="0" applyFont="1" applyBorder="1" applyAlignment="1" applyProtection="1">
      <alignment vertical="center" wrapText="1"/>
      <protection hidden="1"/>
    </xf>
    <xf numFmtId="0" fontId="50" fillId="0" borderId="20" xfId="0" applyFont="1" applyBorder="1" applyAlignment="1" applyProtection="1">
      <alignment vertical="center" wrapText="1"/>
      <protection hidden="1"/>
    </xf>
    <xf numFmtId="0" fontId="50" fillId="0" borderId="0" xfId="0" applyFont="1" applyAlignment="1" applyProtection="1">
      <alignment vertical="center" wrapText="1"/>
      <protection hidden="1"/>
    </xf>
    <xf numFmtId="0" fontId="50" fillId="0" borderId="21" xfId="0" applyFont="1" applyBorder="1" applyAlignment="1" applyProtection="1">
      <alignment vertical="center" wrapText="1"/>
      <protection hidden="1"/>
    </xf>
    <xf numFmtId="0" fontId="51" fillId="0" borderId="0" xfId="0" applyFont="1" applyAlignment="1" applyProtection="1">
      <alignment vertical="center"/>
      <protection hidden="1"/>
    </xf>
    <xf numFmtId="0" fontId="51" fillId="0" borderId="0" xfId="0" applyFont="1" applyAlignment="1" applyProtection="1">
      <alignment vertical="top" wrapText="1"/>
      <protection hidden="1"/>
    </xf>
    <xf numFmtId="0" fontId="50" fillId="0" borderId="14" xfId="0" applyFont="1" applyBorder="1" applyAlignment="1" applyProtection="1">
      <alignment vertical="center"/>
      <protection hidden="1"/>
    </xf>
    <xf numFmtId="0" fontId="51" fillId="0" borderId="15" xfId="0" applyFont="1" applyBorder="1" applyAlignment="1" applyProtection="1">
      <alignment vertical="center"/>
      <protection hidden="1"/>
    </xf>
    <xf numFmtId="2" fontId="53" fillId="0" borderId="15" xfId="0" applyNumberFormat="1" applyFont="1" applyBorder="1" applyAlignment="1" applyProtection="1">
      <alignment vertical="center"/>
      <protection hidden="1"/>
    </xf>
    <xf numFmtId="0" fontId="54" fillId="0" borderId="0" xfId="0" applyFont="1" applyAlignment="1" applyProtection="1">
      <alignment vertical="center"/>
      <protection hidden="1"/>
    </xf>
    <xf numFmtId="49" fontId="55" fillId="0" borderId="20" xfId="0" applyNumberFormat="1" applyFont="1" applyBorder="1" applyAlignment="1" applyProtection="1">
      <alignment horizontal="right" vertical="top"/>
      <protection hidden="1"/>
    </xf>
    <xf numFmtId="49" fontId="55" fillId="0" borderId="14" xfId="0" applyNumberFormat="1" applyFont="1" applyBorder="1" applyAlignment="1" applyProtection="1">
      <alignment horizontal="right" vertical="center"/>
      <protection hidden="1"/>
    </xf>
    <xf numFmtId="0" fontId="52" fillId="0" borderId="0" xfId="0" applyFont="1" applyAlignment="1" applyProtection="1">
      <alignment vertical="top"/>
      <protection hidden="1"/>
    </xf>
    <xf numFmtId="4" fontId="33" fillId="18" borderId="22" xfId="7" applyNumberFormat="1" applyFont="1" applyFill="1" applyBorder="1" applyAlignment="1" applyProtection="1">
      <alignment horizontal="right" vertical="center"/>
      <protection hidden="1"/>
    </xf>
    <xf numFmtId="4" fontId="33" fillId="8" borderId="22" xfId="7" applyNumberFormat="1" applyFont="1" applyFill="1" applyBorder="1" applyAlignment="1" applyProtection="1">
      <alignment horizontal="right" vertical="center"/>
      <protection hidden="1"/>
    </xf>
    <xf numFmtId="4" fontId="35" fillId="3" borderId="10" xfId="7" applyNumberFormat="1" applyFont="1" applyFill="1" applyBorder="1" applyAlignment="1" applyProtection="1">
      <alignment horizontal="right" vertical="center"/>
      <protection hidden="1"/>
    </xf>
    <xf numFmtId="4" fontId="35" fillId="4" borderId="10" xfId="7" applyNumberFormat="1" applyFont="1" applyFill="1" applyBorder="1" applyAlignment="1" applyProtection="1">
      <alignment horizontal="right" vertical="center"/>
      <protection hidden="1"/>
    </xf>
    <xf numFmtId="4" fontId="33" fillId="13" borderId="10" xfId="7" applyNumberFormat="1" applyFont="1" applyFill="1" applyBorder="1" applyAlignment="1" applyProtection="1">
      <alignment horizontal="right" vertical="center"/>
      <protection hidden="1"/>
    </xf>
    <xf numFmtId="4" fontId="33" fillId="5" borderId="10" xfId="7" applyNumberFormat="1" applyFont="1" applyFill="1" applyBorder="1" applyAlignment="1" applyProtection="1">
      <alignment horizontal="right" vertical="center"/>
      <protection hidden="1"/>
    </xf>
    <xf numFmtId="4" fontId="33" fillId="18" borderId="10" xfId="7" applyNumberFormat="1" applyFont="1" applyFill="1" applyBorder="1" applyAlignment="1" applyProtection="1">
      <alignment horizontal="right" vertical="center"/>
      <protection hidden="1"/>
    </xf>
    <xf numFmtId="4" fontId="33" fillId="18" borderId="22" xfId="1" applyNumberFormat="1" applyFont="1" applyFill="1" applyBorder="1" applyAlignment="1" applyProtection="1">
      <alignment horizontal="right" vertical="center"/>
      <protection hidden="1"/>
    </xf>
    <xf numFmtId="4" fontId="33" fillId="8" borderId="22" xfId="1" applyNumberFormat="1" applyFont="1" applyFill="1" applyBorder="1" applyAlignment="1" applyProtection="1">
      <alignment horizontal="right" vertical="center"/>
      <protection hidden="1"/>
    </xf>
    <xf numFmtId="4" fontId="35" fillId="3" borderId="10" xfId="7" applyNumberFormat="1" applyFont="1" applyFill="1" applyBorder="1" applyAlignment="1" applyProtection="1">
      <alignment vertical="center"/>
      <protection hidden="1"/>
    </xf>
    <xf numFmtId="4" fontId="35" fillId="4" borderId="10" xfId="7" applyNumberFormat="1" applyFont="1" applyFill="1" applyBorder="1" applyAlignment="1" applyProtection="1">
      <alignment vertical="center"/>
      <protection hidden="1"/>
    </xf>
    <xf numFmtId="4" fontId="33" fillId="13" borderId="10" xfId="7" applyNumberFormat="1" applyFont="1" applyFill="1" applyBorder="1" applyAlignment="1" applyProtection="1">
      <alignment vertical="center"/>
      <protection hidden="1"/>
    </xf>
    <xf numFmtId="4" fontId="33" fillId="5" borderId="10" xfId="7" applyNumberFormat="1" applyFont="1" applyFill="1" applyBorder="1" applyAlignment="1" applyProtection="1">
      <alignment vertical="center"/>
      <protection hidden="1"/>
    </xf>
    <xf numFmtId="4" fontId="33" fillId="18" borderId="10" xfId="7" applyNumberFormat="1" applyFont="1" applyFill="1" applyBorder="1" applyAlignment="1" applyProtection="1">
      <alignment vertical="center"/>
      <protection hidden="1"/>
    </xf>
    <xf numFmtId="4" fontId="33" fillId="18" borderId="22" xfId="7" applyNumberFormat="1" applyFont="1" applyFill="1" applyBorder="1" applyAlignment="1" applyProtection="1">
      <alignment vertical="center"/>
      <protection hidden="1"/>
    </xf>
    <xf numFmtId="4" fontId="33" fillId="8" borderId="22" xfId="7" applyNumberFormat="1" applyFont="1" applyFill="1" applyBorder="1" applyAlignment="1" applyProtection="1">
      <alignment vertical="center"/>
      <protection hidden="1"/>
    </xf>
    <xf numFmtId="0" fontId="27" fillId="0" borderId="15" xfId="0" applyFont="1" applyBorder="1" applyAlignment="1" applyProtection="1">
      <alignment vertical="center"/>
      <protection hidden="1"/>
    </xf>
    <xf numFmtId="0" fontId="27" fillId="0" borderId="15" xfId="0" applyFont="1" applyBorder="1" applyAlignment="1" applyProtection="1">
      <alignment vertical="center" wrapText="1"/>
      <protection hidden="1"/>
    </xf>
    <xf numFmtId="0" fontId="27" fillId="0" borderId="0" xfId="0" applyFont="1" applyAlignment="1" applyProtection="1">
      <alignment horizontal="center" vertical="center"/>
      <protection hidden="1"/>
    </xf>
    <xf numFmtId="4" fontId="27" fillId="0" borderId="20" xfId="1" applyNumberFormat="1" applyFont="1" applyBorder="1" applyAlignment="1" applyProtection="1">
      <alignment horizontal="center" vertical="center"/>
      <protection hidden="1"/>
    </xf>
    <xf numFmtId="1" fontId="27" fillId="0" borderId="0" xfId="1" applyNumberFormat="1" applyFont="1" applyAlignment="1" applyProtection="1">
      <alignment horizontal="center" vertical="center"/>
      <protection hidden="1"/>
    </xf>
    <xf numFmtId="4" fontId="26" fillId="0" borderId="20" xfId="1" applyNumberFormat="1" applyFont="1" applyBorder="1" applyAlignment="1" applyProtection="1">
      <alignment horizontal="center" vertical="center"/>
      <protection hidden="1"/>
    </xf>
    <xf numFmtId="9" fontId="29" fillId="0" borderId="20" xfId="1" applyFont="1" applyBorder="1" applyAlignment="1" applyProtection="1">
      <alignment horizontal="center" vertical="center"/>
      <protection hidden="1"/>
    </xf>
    <xf numFmtId="165" fontId="29" fillId="0" borderId="20" xfId="1" applyNumberFormat="1" applyFont="1" applyBorder="1" applyAlignment="1" applyProtection="1">
      <alignment horizontal="center" vertical="center"/>
      <protection hidden="1"/>
    </xf>
    <xf numFmtId="171" fontId="33" fillId="0" borderId="20" xfId="7" applyNumberFormat="1" applyFont="1" applyBorder="1" applyAlignment="1" applyProtection="1">
      <alignment horizontal="center" vertical="center"/>
      <protection hidden="1"/>
    </xf>
    <xf numFmtId="0" fontId="29" fillId="0" borderId="20" xfId="0" applyFont="1" applyBorder="1" applyAlignment="1" applyProtection="1">
      <alignment vertical="center"/>
      <protection hidden="1"/>
    </xf>
    <xf numFmtId="0" fontId="22" fillId="0" borderId="17" xfId="0" applyFont="1" applyBorder="1" applyAlignment="1" applyProtection="1">
      <alignment vertical="center" wrapText="1"/>
      <protection hidden="1"/>
    </xf>
    <xf numFmtId="0" fontId="27" fillId="0" borderId="14" xfId="0" applyFont="1" applyBorder="1" applyAlignment="1" applyProtection="1">
      <alignment vertical="center"/>
      <protection hidden="1"/>
    </xf>
    <xf numFmtId="0" fontId="27" fillId="0" borderId="20" xfId="0" applyFont="1" applyBorder="1" applyAlignment="1" applyProtection="1">
      <alignment horizontal="center" vertical="center"/>
      <protection hidden="1"/>
    </xf>
    <xf numFmtId="171" fontId="35" fillId="0" borderId="20" xfId="7" applyNumberFormat="1" applyFont="1" applyBorder="1" applyAlignment="1" applyProtection="1">
      <alignment horizontal="center" vertical="center"/>
      <protection hidden="1"/>
    </xf>
    <xf numFmtId="170" fontId="56" fillId="30" borderId="0" xfId="0" applyNumberFormat="1" applyFont="1" applyFill="1" applyAlignment="1" applyProtection="1">
      <alignment vertical="center"/>
      <protection hidden="1"/>
    </xf>
    <xf numFmtId="0" fontId="57" fillId="30" borderId="0" xfId="0" applyFont="1" applyFill="1" applyAlignment="1">
      <alignment vertical="center"/>
    </xf>
    <xf numFmtId="0" fontId="57" fillId="30" borderId="0" xfId="0" applyFont="1" applyFill="1" applyAlignment="1" applyProtection="1">
      <alignment horizontal="right" vertical="center"/>
      <protection hidden="1"/>
    </xf>
    <xf numFmtId="170" fontId="57" fillId="30" borderId="0" xfId="0" applyNumberFormat="1" applyFont="1" applyFill="1" applyAlignment="1" applyProtection="1">
      <alignment vertical="center"/>
      <protection hidden="1"/>
    </xf>
    <xf numFmtId="0" fontId="57" fillId="30" borderId="0" xfId="0" applyFont="1" applyFill="1" applyAlignment="1" applyProtection="1">
      <alignment vertical="center"/>
      <protection hidden="1"/>
    </xf>
    <xf numFmtId="0" fontId="57" fillId="30" borderId="0" xfId="0" applyFont="1" applyFill="1" applyAlignment="1">
      <alignment horizontal="right" vertical="center"/>
    </xf>
    <xf numFmtId="170" fontId="58" fillId="30" borderId="0" xfId="0" applyNumberFormat="1" applyFont="1" applyFill="1" applyAlignment="1" applyProtection="1">
      <alignment vertical="center"/>
      <protection hidden="1"/>
    </xf>
    <xf numFmtId="0" fontId="58" fillId="30" borderId="0" xfId="0" applyFont="1" applyFill="1" applyAlignment="1" applyProtection="1">
      <alignment vertical="center" wrapText="1"/>
      <protection hidden="1"/>
    </xf>
    <xf numFmtId="0" fontId="58" fillId="30" borderId="0" xfId="0" applyFont="1" applyFill="1" applyAlignment="1" applyProtection="1">
      <alignment vertical="center"/>
      <protection hidden="1"/>
    </xf>
    <xf numFmtId="9" fontId="57" fillId="30" borderId="0" xfId="1" applyFont="1" applyFill="1" applyAlignment="1" applyProtection="1">
      <alignment horizontal="center" vertical="center"/>
      <protection hidden="1"/>
    </xf>
    <xf numFmtId="165" fontId="57" fillId="30" borderId="0" xfId="1" applyNumberFormat="1" applyFont="1" applyFill="1" applyAlignment="1" applyProtection="1">
      <alignment horizontal="center" vertical="center"/>
      <protection hidden="1"/>
    </xf>
    <xf numFmtId="0" fontId="58" fillId="30" borderId="0" xfId="0" quotePrefix="1" applyFont="1" applyFill="1" applyAlignment="1" applyProtection="1">
      <alignment vertical="center" textRotation="90" wrapText="1"/>
      <protection hidden="1"/>
    </xf>
    <xf numFmtId="171" fontId="59" fillId="30" borderId="0" xfId="7" applyNumberFormat="1" applyFont="1" applyFill="1" applyAlignment="1" applyProtection="1">
      <alignment horizontal="center" vertical="center"/>
      <protection hidden="1"/>
    </xf>
    <xf numFmtId="176" fontId="58" fillId="30" borderId="0" xfId="0" applyNumberFormat="1" applyFont="1" applyFill="1" applyAlignment="1" applyProtection="1">
      <alignment vertical="center"/>
      <protection hidden="1"/>
    </xf>
    <xf numFmtId="3" fontId="58" fillId="30" borderId="0" xfId="7" applyNumberFormat="1" applyFont="1" applyFill="1" applyAlignment="1" applyProtection="1">
      <alignment vertical="center"/>
      <protection hidden="1"/>
    </xf>
    <xf numFmtId="0" fontId="58" fillId="30" borderId="0" xfId="0" applyFont="1" applyFill="1" applyAlignment="1" applyProtection="1">
      <alignment horizontal="center" vertical="center"/>
      <protection hidden="1"/>
    </xf>
    <xf numFmtId="4" fontId="58" fillId="30" borderId="0" xfId="0" applyNumberFormat="1" applyFont="1" applyFill="1" applyAlignment="1" applyProtection="1">
      <alignment vertical="center"/>
      <protection hidden="1"/>
    </xf>
    <xf numFmtId="3" fontId="58" fillId="30" borderId="0" xfId="0" applyNumberFormat="1" applyFont="1" applyFill="1" applyAlignment="1" applyProtection="1">
      <alignment vertical="center"/>
      <protection hidden="1"/>
    </xf>
    <xf numFmtId="0" fontId="58" fillId="30" borderId="0" xfId="0" applyFont="1" applyFill="1" applyAlignment="1" applyProtection="1">
      <alignment horizontal="left" vertical="center" wrapText="1"/>
      <protection hidden="1"/>
    </xf>
    <xf numFmtId="0" fontId="58" fillId="30" borderId="0" xfId="0" applyFont="1" applyFill="1" applyAlignment="1" applyProtection="1">
      <alignment horizontal="center" vertical="center" wrapText="1"/>
      <protection hidden="1"/>
    </xf>
    <xf numFmtId="0" fontId="58" fillId="30" borderId="0" xfId="0" applyFont="1" applyFill="1" applyAlignment="1" applyProtection="1">
      <alignment horizontal="left" vertical="center"/>
      <protection hidden="1"/>
    </xf>
    <xf numFmtId="0" fontId="57" fillId="30" borderId="0" xfId="0" applyFont="1" applyFill="1" applyAlignment="1" applyProtection="1">
      <alignment horizontal="left" vertical="center"/>
      <protection hidden="1"/>
    </xf>
    <xf numFmtId="4" fontId="58" fillId="30" borderId="0" xfId="0" applyNumberFormat="1" applyFont="1" applyFill="1" applyAlignment="1" applyProtection="1">
      <alignment vertical="center" wrapText="1"/>
      <protection hidden="1"/>
    </xf>
    <xf numFmtId="4" fontId="58" fillId="30" borderId="0" xfId="0" applyNumberFormat="1" applyFont="1" applyFill="1" applyAlignment="1" applyProtection="1">
      <alignment horizontal="center" vertical="center" wrapText="1"/>
      <protection hidden="1"/>
    </xf>
    <xf numFmtId="1" fontId="58" fillId="30" borderId="0" xfId="1" applyNumberFormat="1" applyFont="1" applyFill="1" applyAlignment="1" applyProtection="1">
      <alignment horizontal="right" vertical="center"/>
      <protection hidden="1"/>
    </xf>
    <xf numFmtId="4" fontId="35" fillId="3" borderId="10" xfId="1" applyNumberFormat="1" applyFont="1" applyFill="1" applyBorder="1" applyAlignment="1" applyProtection="1">
      <alignment horizontal="right" vertical="center"/>
      <protection hidden="1"/>
    </xf>
    <xf numFmtId="4" fontId="35" fillId="4" borderId="10" xfId="1" applyNumberFormat="1" applyFont="1" applyFill="1" applyBorder="1" applyAlignment="1" applyProtection="1">
      <alignment horizontal="right" vertical="center"/>
      <protection hidden="1"/>
    </xf>
    <xf numFmtId="4" fontId="33" fillId="13" borderId="10" xfId="1" applyNumberFormat="1" applyFont="1" applyFill="1" applyBorder="1" applyAlignment="1" applyProtection="1">
      <alignment horizontal="right" vertical="center"/>
      <protection hidden="1"/>
    </xf>
    <xf numFmtId="4" fontId="35" fillId="10" borderId="10" xfId="1" applyNumberFormat="1" applyFont="1" applyFill="1" applyBorder="1" applyAlignment="1" applyProtection="1">
      <alignment horizontal="right" vertical="center"/>
      <protection hidden="1"/>
    </xf>
    <xf numFmtId="4" fontId="33" fillId="8" borderId="10" xfId="1" applyNumberFormat="1" applyFont="1" applyFill="1" applyBorder="1" applyAlignment="1" applyProtection="1">
      <alignment horizontal="right" vertical="center"/>
      <protection hidden="1"/>
    </xf>
    <xf numFmtId="4" fontId="22" fillId="0" borderId="12" xfId="1" applyNumberFormat="1" applyFont="1" applyBorder="1" applyAlignment="1" applyProtection="1">
      <alignment horizontal="right" vertical="center"/>
      <protection hidden="1"/>
    </xf>
    <xf numFmtId="4" fontId="23" fillId="0" borderId="12" xfId="0" applyNumberFormat="1" applyFont="1" applyBorder="1" applyAlignment="1" applyProtection="1">
      <alignment horizontal="right" vertical="center"/>
      <protection hidden="1"/>
    </xf>
    <xf numFmtId="3" fontId="35" fillId="3" borderId="10" xfId="1" applyNumberFormat="1" applyFont="1" applyFill="1" applyBorder="1" applyAlignment="1" applyProtection="1">
      <alignment horizontal="right" vertical="center"/>
      <protection hidden="1"/>
    </xf>
    <xf numFmtId="3" fontId="33" fillId="13" borderId="10" xfId="1" applyNumberFormat="1" applyFont="1" applyFill="1" applyBorder="1" applyAlignment="1" applyProtection="1">
      <alignment horizontal="right" vertical="center"/>
      <protection hidden="1"/>
    </xf>
    <xf numFmtId="3" fontId="35" fillId="10" borderId="10" xfId="1" applyNumberFormat="1" applyFont="1" applyFill="1" applyBorder="1" applyAlignment="1" applyProtection="1">
      <alignment horizontal="right" vertical="center"/>
      <protection hidden="1"/>
    </xf>
    <xf numFmtId="3" fontId="33" fillId="8" borderId="10" xfId="1" applyNumberFormat="1" applyFont="1" applyFill="1" applyBorder="1" applyAlignment="1" applyProtection="1">
      <alignment horizontal="right" vertical="center"/>
      <protection hidden="1"/>
    </xf>
    <xf numFmtId="3" fontId="27" fillId="0" borderId="10" xfId="1" applyNumberFormat="1" applyFont="1" applyBorder="1" applyAlignment="1" applyProtection="1">
      <alignment horizontal="right" vertical="center"/>
      <protection hidden="1"/>
    </xf>
    <xf numFmtId="0" fontId="23" fillId="2" borderId="18" xfId="0" applyFont="1" applyFill="1" applyBorder="1" applyAlignment="1" applyProtection="1">
      <alignment horizontal="right" vertical="center"/>
      <protection hidden="1"/>
    </xf>
    <xf numFmtId="4" fontId="26" fillId="10" borderId="10" xfId="0" applyNumberFormat="1" applyFont="1" applyFill="1" applyBorder="1" applyAlignment="1" applyProtection="1">
      <alignment vertical="center"/>
      <protection hidden="1"/>
    </xf>
    <xf numFmtId="4" fontId="26" fillId="6" borderId="10" xfId="0" applyNumberFormat="1" applyFont="1" applyFill="1" applyBorder="1" applyAlignment="1" applyProtection="1">
      <alignment vertical="center"/>
      <protection hidden="1"/>
    </xf>
    <xf numFmtId="4" fontId="27" fillId="3" borderId="10" xfId="0" applyNumberFormat="1" applyFont="1" applyFill="1" applyBorder="1" applyAlignment="1" applyProtection="1">
      <alignment vertical="center"/>
      <protection hidden="1"/>
    </xf>
    <xf numFmtId="4" fontId="27" fillId="4" borderId="10" xfId="0" applyNumberFormat="1" applyFont="1" applyFill="1" applyBorder="1" applyAlignment="1" applyProtection="1">
      <alignment vertical="center"/>
      <protection hidden="1"/>
    </xf>
    <xf numFmtId="4" fontId="27" fillId="7" borderId="10" xfId="0" applyNumberFormat="1" applyFont="1" applyFill="1" applyBorder="1" applyAlignment="1" applyProtection="1">
      <alignment vertical="center"/>
      <protection hidden="1"/>
    </xf>
    <xf numFmtId="4" fontId="27" fillId="21" borderId="10" xfId="0" applyNumberFormat="1" applyFont="1" applyFill="1" applyBorder="1" applyAlignment="1" applyProtection="1">
      <alignment vertical="center"/>
      <protection hidden="1"/>
    </xf>
    <xf numFmtId="171" fontId="57" fillId="30" borderId="0" xfId="0" applyNumberFormat="1" applyFont="1" applyFill="1" applyAlignment="1" applyProtection="1">
      <alignment vertical="center"/>
      <protection hidden="1"/>
    </xf>
    <xf numFmtId="0" fontId="6" fillId="0" borderId="0" xfId="12"/>
    <xf numFmtId="0" fontId="24" fillId="2" borderId="17" xfId="0" applyFont="1" applyFill="1" applyBorder="1" applyAlignment="1" applyProtection="1">
      <alignment horizontal="right" vertical="center"/>
      <protection hidden="1"/>
    </xf>
    <xf numFmtId="0" fontId="24" fillId="2" borderId="17" xfId="0" applyFont="1" applyFill="1" applyBorder="1" applyAlignment="1">
      <alignment horizontal="right" vertical="center"/>
    </xf>
    <xf numFmtId="0" fontId="22" fillId="0" borderId="13" xfId="0" applyFont="1" applyBorder="1" applyAlignment="1">
      <alignment horizontal="center" vertical="center"/>
    </xf>
    <xf numFmtId="171" fontId="35" fillId="0" borderId="22" xfId="7" applyNumberFormat="1" applyFont="1" applyBorder="1" applyAlignment="1" applyProtection="1">
      <alignment horizontal="center" vertical="center"/>
      <protection hidden="1"/>
    </xf>
    <xf numFmtId="171" fontId="33" fillId="0" borderId="22" xfId="7" applyNumberFormat="1" applyFont="1" applyBorder="1" applyAlignment="1" applyProtection="1">
      <alignment horizontal="center" vertical="center"/>
      <protection hidden="1"/>
    </xf>
    <xf numFmtId="1" fontId="27" fillId="0" borderId="17" xfId="1" applyNumberFormat="1" applyFont="1" applyBorder="1" applyAlignment="1" applyProtection="1">
      <alignment horizontal="right" vertical="center"/>
      <protection hidden="1"/>
    </xf>
    <xf numFmtId="0" fontId="22" fillId="0" borderId="19" xfId="0" applyFont="1" applyBorder="1" applyAlignment="1" applyProtection="1">
      <alignment horizontal="center" vertical="center"/>
      <protection hidden="1"/>
    </xf>
    <xf numFmtId="171" fontId="35" fillId="0" borderId="15" xfId="7" applyNumberFormat="1" applyFont="1" applyBorder="1" applyAlignment="1" applyProtection="1">
      <alignment horizontal="center" vertical="center"/>
      <protection hidden="1"/>
    </xf>
    <xf numFmtId="171" fontId="33" fillId="0" borderId="15" xfId="7" applyNumberFormat="1" applyFont="1" applyBorder="1" applyAlignment="1" applyProtection="1">
      <alignment horizontal="center" vertical="center"/>
      <protection hidden="1"/>
    </xf>
    <xf numFmtId="171" fontId="33" fillId="0" borderId="16" xfId="7" applyNumberFormat="1" applyFont="1" applyBorder="1" applyAlignment="1" applyProtection="1">
      <alignment horizontal="center" vertical="center"/>
      <protection hidden="1"/>
    </xf>
    <xf numFmtId="165" fontId="27" fillId="2" borderId="18" xfId="1" applyNumberFormat="1" applyFont="1" applyFill="1" applyBorder="1" applyAlignment="1" applyProtection="1">
      <alignment horizontal="center" vertical="center"/>
      <protection hidden="1"/>
    </xf>
    <xf numFmtId="0" fontId="22" fillId="0" borderId="18" xfId="0" applyFont="1" applyBorder="1" applyAlignment="1" applyProtection="1">
      <alignment horizontal="center" vertical="center"/>
      <protection hidden="1"/>
    </xf>
    <xf numFmtId="4" fontId="27" fillId="0" borderId="18" xfId="0" applyNumberFormat="1" applyFont="1" applyBorder="1" applyAlignment="1" applyProtection="1">
      <alignment vertical="center"/>
      <protection hidden="1"/>
    </xf>
    <xf numFmtId="171" fontId="33" fillId="0" borderId="11" xfId="1" applyNumberFormat="1" applyFont="1" applyBorder="1" applyAlignment="1" applyProtection="1">
      <alignment horizontal="center" vertical="center"/>
      <protection hidden="1"/>
    </xf>
    <xf numFmtId="2" fontId="29" fillId="0" borderId="12" xfId="1" applyNumberFormat="1" applyFont="1" applyBorder="1" applyAlignment="1" applyProtection="1">
      <alignment horizontal="center" vertical="center"/>
      <protection hidden="1"/>
    </xf>
    <xf numFmtId="2" fontId="29" fillId="0" borderId="13" xfId="1" applyNumberFormat="1" applyFont="1" applyBorder="1" applyAlignment="1" applyProtection="1">
      <alignment horizontal="center" vertical="center"/>
      <protection hidden="1"/>
    </xf>
    <xf numFmtId="0" fontId="4" fillId="6" borderId="2" xfId="0" applyFont="1" applyFill="1" applyBorder="1" applyAlignment="1" applyProtection="1">
      <alignment horizontal="left" vertical="center" wrapText="1"/>
      <protection hidden="1"/>
    </xf>
    <xf numFmtId="0" fontId="0" fillId="12" borderId="0" xfId="0" applyFill="1" applyProtection="1">
      <protection hidden="1"/>
    </xf>
    <xf numFmtId="177" fontId="0" fillId="12" borderId="0" xfId="0" applyNumberFormat="1" applyFill="1" applyAlignment="1" applyProtection="1">
      <alignment horizontal="left"/>
      <protection locked="0" hidden="1"/>
    </xf>
    <xf numFmtId="14" fontId="0" fillId="12" borderId="0" xfId="0" applyNumberFormat="1" applyFill="1" applyAlignment="1" applyProtection="1">
      <alignment horizontal="left"/>
      <protection locked="0" hidden="1"/>
    </xf>
    <xf numFmtId="1" fontId="0" fillId="12" borderId="0" xfId="0" applyNumberFormat="1" applyFill="1" applyAlignment="1" applyProtection="1">
      <alignment horizontal="center"/>
      <protection locked="0" hidden="1"/>
    </xf>
    <xf numFmtId="0" fontId="0" fillId="0" borderId="0" xfId="0" applyProtection="1">
      <protection hidden="1"/>
    </xf>
    <xf numFmtId="14" fontId="0" fillId="2" borderId="0" xfId="0" applyNumberFormat="1" applyFill="1" applyAlignment="1" applyProtection="1">
      <alignment horizontal="left"/>
      <protection hidden="1"/>
    </xf>
    <xf numFmtId="0" fontId="12" fillId="2" borderId="5" xfId="0" applyFont="1" applyFill="1" applyBorder="1" applyAlignment="1" applyProtection="1">
      <alignment horizontal="center" vertical="center"/>
      <protection hidden="1"/>
    </xf>
    <xf numFmtId="1" fontId="16" fillId="2" borderId="4" xfId="0" applyNumberFormat="1" applyFont="1" applyFill="1" applyBorder="1" applyAlignment="1" applyProtection="1">
      <alignment horizontal="left" vertical="center"/>
      <protection hidden="1"/>
    </xf>
    <xf numFmtId="1" fontId="16" fillId="2" borderId="0" xfId="0" applyNumberFormat="1" applyFont="1" applyFill="1" applyAlignment="1" applyProtection="1">
      <alignment horizontal="left" vertical="center"/>
      <protection hidden="1"/>
    </xf>
    <xf numFmtId="0" fontId="0" fillId="12" borderId="0" xfId="0" applyFill="1" applyAlignment="1" applyProtection="1">
      <alignment horizontal="left"/>
      <protection locked="0" hidden="1"/>
    </xf>
    <xf numFmtId="0" fontId="2" fillId="3" borderId="0" xfId="0" applyFont="1" applyFill="1" applyProtection="1">
      <protection locked="0" hidden="1"/>
    </xf>
    <xf numFmtId="0" fontId="0" fillId="3" borderId="2" xfId="0" applyFill="1" applyBorder="1" applyProtection="1">
      <protection locked="0" hidden="1"/>
    </xf>
    <xf numFmtId="0" fontId="16" fillId="3" borderId="8" xfId="0" applyFont="1" applyFill="1" applyBorder="1" applyProtection="1">
      <protection locked="0" hidden="1"/>
    </xf>
    <xf numFmtId="0" fontId="16" fillId="3" borderId="3" xfId="0" applyFont="1" applyFill="1" applyBorder="1" applyProtection="1">
      <protection locked="0" hidden="1"/>
    </xf>
    <xf numFmtId="0" fontId="22" fillId="31" borderId="10" xfId="0" applyFont="1" applyFill="1" applyBorder="1" applyAlignment="1" applyProtection="1">
      <alignment horizontal="center" vertical="center" wrapText="1"/>
      <protection hidden="1"/>
    </xf>
    <xf numFmtId="0" fontId="27" fillId="0" borderId="20" xfId="0" applyFont="1" applyBorder="1" applyAlignment="1" applyProtection="1">
      <alignment horizontal="left" vertical="center"/>
      <protection hidden="1"/>
    </xf>
    <xf numFmtId="176" fontId="27" fillId="0" borderId="0" xfId="0" applyNumberFormat="1" applyFont="1" applyAlignment="1" applyProtection="1">
      <alignment vertical="center"/>
      <protection hidden="1"/>
    </xf>
    <xf numFmtId="0" fontId="27" fillId="0" borderId="0" xfId="0" applyFont="1" applyAlignment="1" applyProtection="1">
      <alignment vertical="center" wrapText="1"/>
      <protection hidden="1"/>
    </xf>
    <xf numFmtId="0" fontId="27" fillId="0" borderId="0" xfId="0" quotePrefix="1" applyFont="1" applyAlignment="1" applyProtection="1">
      <alignment vertical="center" textRotation="90" wrapText="1"/>
      <protection hidden="1"/>
    </xf>
    <xf numFmtId="0" fontId="26" fillId="0" borderId="0" xfId="0" applyFont="1" applyAlignment="1" applyProtection="1">
      <alignment vertical="center"/>
      <protection hidden="1"/>
    </xf>
    <xf numFmtId="171" fontId="35" fillId="0" borderId="21" xfId="7" applyNumberFormat="1" applyFont="1" applyBorder="1" applyAlignment="1" applyProtection="1">
      <alignment horizontal="center" vertical="center"/>
      <protection hidden="1"/>
    </xf>
    <xf numFmtId="3" fontId="27" fillId="0" borderId="0" xfId="7" applyNumberFormat="1" applyFont="1" applyAlignment="1" applyProtection="1">
      <alignment vertical="center"/>
      <protection hidden="1"/>
    </xf>
    <xf numFmtId="0" fontId="27" fillId="0" borderId="21" xfId="0" applyFont="1" applyBorder="1" applyAlignment="1" applyProtection="1">
      <alignment horizontal="center" vertical="center"/>
      <protection hidden="1"/>
    </xf>
    <xf numFmtId="171" fontId="35" fillId="0" borderId="0" xfId="7" applyNumberFormat="1" applyFont="1" applyAlignment="1" applyProtection="1">
      <alignment vertical="center" wrapText="1"/>
      <protection hidden="1"/>
    </xf>
    <xf numFmtId="171" fontId="35" fillId="0" borderId="19" xfId="7" applyNumberFormat="1" applyFont="1" applyBorder="1" applyAlignment="1" applyProtection="1">
      <alignment horizontal="center" vertical="center"/>
      <protection hidden="1"/>
    </xf>
    <xf numFmtId="0" fontId="29" fillId="30" borderId="0" xfId="0" applyFont="1" applyFill="1" applyAlignment="1" applyProtection="1">
      <alignment vertical="center" wrapText="1"/>
      <protection hidden="1"/>
    </xf>
    <xf numFmtId="0" fontId="27" fillId="0" borderId="0" xfId="0" applyFont="1" applyAlignment="1" applyProtection="1">
      <alignment horizontal="left" vertical="center"/>
      <protection hidden="1"/>
    </xf>
    <xf numFmtId="0" fontId="32" fillId="0" borderId="0" xfId="0" applyFont="1" applyAlignment="1" applyProtection="1">
      <alignment vertical="center" wrapText="1"/>
      <protection hidden="1"/>
    </xf>
    <xf numFmtId="0" fontId="46" fillId="42" borderId="16" xfId="0" applyFont="1" applyFill="1" applyBorder="1" applyAlignment="1" applyProtection="1">
      <alignment vertical="center"/>
      <protection hidden="1"/>
    </xf>
    <xf numFmtId="0" fontId="30" fillId="42" borderId="19" xfId="0" applyFont="1" applyFill="1" applyBorder="1" applyAlignment="1" applyProtection="1">
      <alignment vertical="center"/>
      <protection hidden="1"/>
    </xf>
    <xf numFmtId="0" fontId="27" fillId="0" borderId="21" xfId="0" applyFont="1" applyBorder="1" applyAlignment="1" applyProtection="1">
      <alignment vertical="center" wrapText="1"/>
      <protection hidden="1"/>
    </xf>
    <xf numFmtId="0" fontId="32" fillId="0" borderId="20" xfId="0" applyFont="1" applyBorder="1" applyAlignment="1" applyProtection="1">
      <alignment vertical="center" wrapText="1"/>
      <protection hidden="1"/>
    </xf>
    <xf numFmtId="0" fontId="32" fillId="0" borderId="21" xfId="0" applyFont="1" applyBorder="1" applyAlignment="1" applyProtection="1">
      <alignment vertical="center" wrapText="1"/>
      <protection hidden="1"/>
    </xf>
    <xf numFmtId="3" fontId="27" fillId="0" borderId="18" xfId="1" applyNumberFormat="1" applyFont="1" applyBorder="1" applyAlignment="1" applyProtection="1">
      <alignment vertical="center"/>
      <protection hidden="1"/>
    </xf>
    <xf numFmtId="3" fontId="27" fillId="0" borderId="21" xfId="0" applyNumberFormat="1" applyFont="1" applyBorder="1" applyAlignment="1" applyProtection="1">
      <alignment vertical="center"/>
      <protection hidden="1"/>
    </xf>
    <xf numFmtId="3" fontId="27" fillId="0" borderId="17" xfId="1" applyNumberFormat="1" applyFont="1" applyBorder="1" applyAlignment="1" applyProtection="1">
      <alignment vertical="center"/>
      <protection hidden="1"/>
    </xf>
    <xf numFmtId="3" fontId="27" fillId="0" borderId="21" xfId="0" applyNumberFormat="1" applyFont="1" applyBorder="1" applyAlignment="1" applyProtection="1">
      <alignment horizontal="center" vertical="center"/>
      <protection hidden="1"/>
    </xf>
    <xf numFmtId="0" fontId="22" fillId="31" borderId="14" xfId="0" applyFont="1" applyFill="1" applyBorder="1" applyAlignment="1" applyProtection="1">
      <alignment horizontal="center" vertical="center" wrapText="1"/>
      <protection hidden="1"/>
    </xf>
    <xf numFmtId="0" fontId="22" fillId="31" borderId="16" xfId="0" applyFont="1" applyFill="1" applyBorder="1" applyAlignment="1" applyProtection="1">
      <alignment horizontal="center" vertical="center" wrapText="1"/>
      <protection hidden="1"/>
    </xf>
    <xf numFmtId="3" fontId="27" fillId="0" borderId="17" xfId="0" applyNumberFormat="1" applyFont="1" applyBorder="1" applyAlignment="1" applyProtection="1">
      <alignment horizontal="center" vertical="center"/>
      <protection hidden="1"/>
    </xf>
    <xf numFmtId="3" fontId="27" fillId="0" borderId="19" xfId="0" applyNumberFormat="1" applyFont="1" applyBorder="1" applyAlignment="1" applyProtection="1">
      <alignment horizontal="center" vertical="center"/>
      <protection hidden="1"/>
    </xf>
    <xf numFmtId="3" fontId="27" fillId="10" borderId="17" xfId="0" applyNumberFormat="1" applyFont="1" applyFill="1" applyBorder="1" applyAlignment="1" applyProtection="1">
      <alignment horizontal="center" vertical="center"/>
      <protection hidden="1"/>
    </xf>
    <xf numFmtId="3" fontId="27" fillId="10" borderId="19" xfId="0" applyNumberFormat="1" applyFont="1" applyFill="1" applyBorder="1" applyAlignment="1" applyProtection="1">
      <alignment horizontal="center" vertical="center"/>
      <protection hidden="1"/>
    </xf>
    <xf numFmtId="0" fontId="22" fillId="0" borderId="13"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3" xfId="0" applyFont="1" applyBorder="1" applyAlignment="1" applyProtection="1">
      <alignment horizontal="center" vertical="center" wrapText="1"/>
      <protection hidden="1"/>
    </xf>
    <xf numFmtId="0" fontId="27" fillId="0" borderId="26" xfId="0" applyFont="1" applyBorder="1" applyAlignment="1" applyProtection="1">
      <alignment horizontal="left" vertical="center"/>
      <protection hidden="1"/>
    </xf>
    <xf numFmtId="0" fontId="27" fillId="0" borderId="27" xfId="0" applyFont="1" applyBorder="1" applyAlignment="1" applyProtection="1">
      <alignment horizontal="left" vertical="center"/>
      <protection hidden="1"/>
    </xf>
    <xf numFmtId="176" fontId="27" fillId="0" borderId="27" xfId="0" applyNumberFormat="1" applyFont="1" applyBorder="1" applyAlignment="1" applyProtection="1">
      <alignment vertical="center"/>
      <protection hidden="1"/>
    </xf>
    <xf numFmtId="176" fontId="27" fillId="0" borderId="28" xfId="0" applyNumberFormat="1" applyFont="1" applyBorder="1" applyAlignment="1" applyProtection="1">
      <alignment vertical="center"/>
      <protection hidden="1"/>
    </xf>
    <xf numFmtId="0" fontId="26" fillId="0" borderId="27" xfId="0" applyFont="1" applyBorder="1" applyAlignment="1" applyProtection="1">
      <alignment vertical="center"/>
      <protection hidden="1"/>
    </xf>
    <xf numFmtId="3" fontId="27" fillId="0" borderId="28" xfId="0" applyNumberFormat="1" applyFont="1" applyBorder="1" applyAlignment="1" applyProtection="1">
      <alignment vertical="center"/>
      <protection hidden="1"/>
    </xf>
    <xf numFmtId="3" fontId="27" fillId="10" borderId="0" xfId="0" applyNumberFormat="1" applyFont="1" applyFill="1" applyAlignment="1" applyProtection="1">
      <alignment horizontal="center" vertical="center"/>
      <protection hidden="1"/>
    </xf>
    <xf numFmtId="3" fontId="27" fillId="0" borderId="0" xfId="0" applyNumberFormat="1" applyFont="1" applyAlignment="1" applyProtection="1">
      <alignment horizontal="center" vertical="center"/>
      <protection hidden="1"/>
    </xf>
    <xf numFmtId="0" fontId="24" fillId="0" borderId="20" xfId="0" applyFont="1" applyBorder="1" applyAlignment="1" applyProtection="1">
      <alignment horizontal="center" vertical="center"/>
      <protection hidden="1"/>
    </xf>
    <xf numFmtId="0" fontId="24" fillId="0" borderId="21" xfId="0" applyFont="1" applyBorder="1" applyAlignment="1" applyProtection="1">
      <alignment horizontal="center" vertical="center"/>
      <protection hidden="1"/>
    </xf>
    <xf numFmtId="0" fontId="25" fillId="0" borderId="21" xfId="0" applyFont="1" applyBorder="1" applyAlignment="1" applyProtection="1">
      <alignment vertical="center"/>
      <protection hidden="1"/>
    </xf>
    <xf numFmtId="0" fontId="27" fillId="10" borderId="10" xfId="0" applyFont="1" applyFill="1" applyBorder="1" applyAlignment="1" applyProtection="1">
      <alignment horizontal="center" vertical="center" wrapText="1"/>
      <protection hidden="1"/>
    </xf>
    <xf numFmtId="0" fontId="27" fillId="3" borderId="10" xfId="0" applyFont="1" applyFill="1" applyBorder="1" applyAlignment="1" applyProtection="1">
      <alignment horizontal="center" vertical="center" wrapText="1"/>
      <protection hidden="1"/>
    </xf>
    <xf numFmtId="0" fontId="22" fillId="4" borderId="10" xfId="0" applyFont="1" applyFill="1" applyBorder="1" applyAlignment="1" applyProtection="1">
      <alignment horizontal="center" vertical="center" wrapText="1"/>
      <protection hidden="1"/>
    </xf>
    <xf numFmtId="0" fontId="22" fillId="13" borderId="10" xfId="0" applyFont="1" applyFill="1" applyBorder="1" applyAlignment="1" applyProtection="1">
      <alignment horizontal="center" vertical="center" wrapText="1"/>
      <protection hidden="1"/>
    </xf>
    <xf numFmtId="3" fontId="27" fillId="10" borderId="10" xfId="0" applyNumberFormat="1" applyFont="1" applyFill="1" applyBorder="1" applyAlignment="1" applyProtection="1">
      <alignment horizontal="center" vertical="center"/>
      <protection hidden="1"/>
    </xf>
    <xf numFmtId="0" fontId="27" fillId="0" borderId="10" xfId="0" applyFont="1" applyBorder="1" applyAlignment="1" applyProtection="1">
      <alignment horizontal="center" vertical="center" wrapText="1"/>
      <protection hidden="1"/>
    </xf>
    <xf numFmtId="3" fontId="27" fillId="10" borderId="29" xfId="0" applyNumberFormat="1" applyFont="1" applyFill="1" applyBorder="1" applyAlignment="1" applyProtection="1">
      <alignment horizontal="center" vertical="center"/>
      <protection hidden="1"/>
    </xf>
    <xf numFmtId="3" fontId="27" fillId="10" borderId="30" xfId="0" applyNumberFormat="1" applyFont="1" applyFill="1" applyBorder="1" applyAlignment="1" applyProtection="1">
      <alignment horizontal="center" vertical="center"/>
      <protection hidden="1"/>
    </xf>
    <xf numFmtId="3" fontId="27" fillId="10" borderId="32" xfId="0" applyNumberFormat="1" applyFont="1" applyFill="1" applyBorder="1" applyAlignment="1" applyProtection="1">
      <alignment horizontal="center" vertical="center"/>
      <protection hidden="1"/>
    </xf>
    <xf numFmtId="3" fontId="27" fillId="10" borderId="25" xfId="0" applyNumberFormat="1" applyFont="1" applyFill="1" applyBorder="1" applyAlignment="1" applyProtection="1">
      <alignment horizontal="center" vertical="center"/>
      <protection hidden="1"/>
    </xf>
    <xf numFmtId="3" fontId="27" fillId="10" borderId="34" xfId="0" applyNumberFormat="1" applyFont="1" applyFill="1" applyBorder="1" applyAlignment="1" applyProtection="1">
      <alignment horizontal="center" vertical="center"/>
      <protection hidden="1"/>
    </xf>
    <xf numFmtId="3" fontId="27" fillId="10" borderId="35" xfId="0" applyNumberFormat="1" applyFont="1" applyFill="1" applyBorder="1" applyAlignment="1" applyProtection="1">
      <alignment horizontal="center" vertical="center"/>
      <protection hidden="1"/>
    </xf>
    <xf numFmtId="3" fontId="27" fillId="0" borderId="30" xfId="0" applyNumberFormat="1" applyFont="1" applyBorder="1" applyAlignment="1" applyProtection="1">
      <alignment vertical="center"/>
      <protection hidden="1"/>
    </xf>
    <xf numFmtId="3" fontId="27" fillId="0" borderId="31" xfId="0" applyNumberFormat="1" applyFont="1" applyBorder="1" applyAlignment="1" applyProtection="1">
      <alignment vertical="center"/>
      <protection hidden="1"/>
    </xf>
    <xf numFmtId="0" fontId="32" fillId="0" borderId="35" xfId="0" applyFont="1" applyBorder="1" applyAlignment="1" applyProtection="1">
      <alignment vertical="center" wrapText="1"/>
      <protection hidden="1"/>
    </xf>
    <xf numFmtId="0" fontId="32" fillId="0" borderId="36" xfId="0" applyFont="1" applyBorder="1" applyAlignment="1" applyProtection="1">
      <alignment vertical="center" wrapText="1"/>
      <protection hidden="1"/>
    </xf>
    <xf numFmtId="0" fontId="27" fillId="0" borderId="12" xfId="0" applyFont="1" applyBorder="1" applyAlignment="1" applyProtection="1">
      <alignment horizontal="center" vertical="center" wrapText="1"/>
      <protection hidden="1"/>
    </xf>
    <xf numFmtId="178" fontId="27" fillId="0" borderId="10" xfId="0" applyNumberFormat="1" applyFont="1" applyBorder="1" applyAlignment="1" applyProtection="1">
      <alignment horizontal="center" vertical="center"/>
      <protection hidden="1"/>
    </xf>
    <xf numFmtId="178" fontId="27" fillId="0" borderId="30" xfId="0" applyNumberFormat="1" applyFont="1" applyBorder="1" applyAlignment="1" applyProtection="1">
      <alignment horizontal="center" vertical="center"/>
      <protection hidden="1"/>
    </xf>
    <xf numFmtId="178" fontId="27" fillId="0" borderId="31" xfId="0" applyNumberFormat="1" applyFont="1" applyBorder="1" applyAlignment="1" applyProtection="1">
      <alignment horizontal="center" vertical="center"/>
      <protection hidden="1"/>
    </xf>
    <xf numFmtId="178" fontId="27" fillId="0" borderId="25" xfId="0" applyNumberFormat="1" applyFont="1" applyBorder="1" applyAlignment="1" applyProtection="1">
      <alignment horizontal="center" vertical="center"/>
      <protection hidden="1"/>
    </xf>
    <xf numFmtId="178" fontId="27" fillId="0" borderId="33" xfId="0" applyNumberFormat="1" applyFont="1" applyBorder="1" applyAlignment="1" applyProtection="1">
      <alignment horizontal="center" vertical="center"/>
      <protection hidden="1"/>
    </xf>
    <xf numFmtId="178" fontId="27" fillId="0" borderId="35" xfId="0" applyNumberFormat="1" applyFont="1" applyBorder="1" applyAlignment="1" applyProtection="1">
      <alignment horizontal="center" vertical="center"/>
      <protection hidden="1"/>
    </xf>
    <xf numFmtId="178" fontId="27" fillId="0" borderId="36" xfId="0" applyNumberFormat="1" applyFont="1" applyBorder="1" applyAlignment="1" applyProtection="1">
      <alignment horizontal="center" vertical="center"/>
      <protection hidden="1"/>
    </xf>
    <xf numFmtId="0" fontId="8" fillId="10" borderId="0" xfId="0" applyFont="1" applyFill="1" applyProtection="1">
      <protection hidden="1"/>
    </xf>
    <xf numFmtId="0" fontId="8" fillId="15" borderId="0" xfId="0" applyFont="1" applyFill="1" applyProtection="1">
      <protection hidden="1"/>
    </xf>
    <xf numFmtId="0" fontId="7" fillId="25" borderId="0" xfId="0" applyFont="1" applyFill="1" applyProtection="1">
      <protection hidden="1"/>
    </xf>
    <xf numFmtId="0" fontId="0" fillId="25" borderId="0" xfId="0" applyFill="1" applyProtection="1">
      <protection hidden="1"/>
    </xf>
    <xf numFmtId="0" fontId="7" fillId="46" borderId="0" xfId="0" applyFont="1" applyFill="1" applyProtection="1">
      <protection hidden="1"/>
    </xf>
    <xf numFmtId="0" fontId="0" fillId="46" borderId="0" xfId="0" applyFill="1" applyProtection="1">
      <protection hidden="1"/>
    </xf>
    <xf numFmtId="1" fontId="7" fillId="8" borderId="0" xfId="0" applyNumberFormat="1" applyFont="1" applyFill="1" applyProtection="1">
      <protection hidden="1"/>
    </xf>
    <xf numFmtId="0" fontId="7" fillId="8" borderId="0" xfId="0" applyFont="1" applyFill="1" applyAlignment="1" applyProtection="1">
      <alignment horizontal="center" vertical="center"/>
      <protection locked="0"/>
    </xf>
    <xf numFmtId="0" fontId="22" fillId="13" borderId="13" xfId="0" applyFont="1" applyFill="1" applyBorder="1" applyAlignment="1" applyProtection="1">
      <alignment horizontal="center" vertical="center" wrapText="1"/>
      <protection hidden="1"/>
    </xf>
    <xf numFmtId="3" fontId="27" fillId="11" borderId="29" xfId="7" applyNumberFormat="1" applyFont="1" applyFill="1" applyBorder="1" applyAlignment="1" applyProtection="1">
      <alignment horizontal="center" vertical="center"/>
      <protection hidden="1"/>
    </xf>
    <xf numFmtId="3" fontId="27" fillId="11" borderId="30" xfId="7" applyNumberFormat="1" applyFont="1" applyFill="1" applyBorder="1" applyAlignment="1" applyProtection="1">
      <alignment horizontal="center" vertical="center"/>
      <protection hidden="1"/>
    </xf>
    <xf numFmtId="9" fontId="27" fillId="11" borderId="29" xfId="1" applyFont="1" applyFill="1" applyBorder="1" applyAlignment="1" applyProtection="1">
      <alignment horizontal="center" vertical="center"/>
      <protection hidden="1"/>
    </xf>
    <xf numFmtId="9" fontId="27" fillId="11" borderId="30" xfId="1" applyFont="1" applyFill="1" applyBorder="1" applyAlignment="1" applyProtection="1">
      <alignment horizontal="center" vertical="center"/>
      <protection hidden="1"/>
    </xf>
    <xf numFmtId="9" fontId="27" fillId="17" borderId="34" xfId="1" applyFont="1" applyFill="1" applyBorder="1" applyAlignment="1" applyProtection="1">
      <alignment horizontal="center" vertical="center"/>
      <protection hidden="1"/>
    </xf>
    <xf numFmtId="9" fontId="27" fillId="17" borderId="35" xfId="1" applyFont="1" applyFill="1" applyBorder="1" applyAlignment="1" applyProtection="1">
      <alignment horizontal="center" vertical="center"/>
      <protection hidden="1"/>
    </xf>
    <xf numFmtId="3" fontId="27" fillId="15" borderId="10" xfId="0" applyNumberFormat="1" applyFont="1" applyFill="1" applyBorder="1" applyAlignment="1" applyProtection="1">
      <alignment horizontal="center" vertical="center"/>
      <protection hidden="1"/>
    </xf>
    <xf numFmtId="3" fontId="27" fillId="17" borderId="34" xfId="7" applyNumberFormat="1" applyFont="1" applyFill="1" applyBorder="1" applyAlignment="1" applyProtection="1">
      <alignment horizontal="center" vertical="center"/>
      <protection hidden="1"/>
    </xf>
    <xf numFmtId="3" fontId="27" fillId="17" borderId="35" xfId="7" applyNumberFormat="1" applyFont="1" applyFill="1" applyBorder="1" applyAlignment="1" applyProtection="1">
      <alignment horizontal="center" vertical="center"/>
      <protection hidden="1"/>
    </xf>
    <xf numFmtId="3" fontId="27" fillId="11" borderId="31" xfId="7" applyNumberFormat="1" applyFont="1" applyFill="1" applyBorder="1" applyAlignment="1" applyProtection="1">
      <alignment horizontal="center" vertical="center"/>
      <protection hidden="1"/>
    </xf>
    <xf numFmtId="3" fontId="27" fillId="17" borderId="36" xfId="7" applyNumberFormat="1" applyFont="1" applyFill="1" applyBorder="1" applyAlignment="1" applyProtection="1">
      <alignment horizontal="center" vertical="center"/>
      <protection hidden="1"/>
    </xf>
    <xf numFmtId="0" fontId="27" fillId="3" borderId="13" xfId="0" applyFont="1" applyFill="1" applyBorder="1" applyAlignment="1" applyProtection="1">
      <alignment horizontal="center" vertical="center" wrapText="1"/>
      <protection hidden="1"/>
    </xf>
    <xf numFmtId="3" fontId="27" fillId="15" borderId="13" xfId="0" applyNumberFormat="1" applyFont="1" applyFill="1" applyBorder="1" applyAlignment="1" applyProtection="1">
      <alignment horizontal="center" vertical="center"/>
      <protection hidden="1"/>
    </xf>
    <xf numFmtId="3" fontId="27" fillId="11" borderId="38" xfId="7" applyNumberFormat="1" applyFont="1" applyFill="1" applyBorder="1" applyAlignment="1" applyProtection="1">
      <alignment horizontal="center" vertical="center"/>
      <protection hidden="1"/>
    </xf>
    <xf numFmtId="3" fontId="27" fillId="17" borderId="39" xfId="7" applyNumberFormat="1" applyFont="1" applyFill="1" applyBorder="1" applyAlignment="1" applyProtection="1">
      <alignment horizontal="center" vertical="center"/>
      <protection hidden="1"/>
    </xf>
    <xf numFmtId="0" fontId="22" fillId="4" borderId="13" xfId="0" applyFont="1" applyFill="1" applyBorder="1" applyAlignment="1" applyProtection="1">
      <alignment horizontal="center" vertical="center" wrapText="1"/>
      <protection hidden="1"/>
    </xf>
    <xf numFmtId="165" fontId="0" fillId="26" borderId="0" xfId="1" applyNumberFormat="1" applyFont="1" applyFill="1" applyAlignment="1" applyProtection="1">
      <alignment horizontal="center"/>
      <protection hidden="1"/>
    </xf>
    <xf numFmtId="2" fontId="0" fillId="0" borderId="0" xfId="0" applyNumberFormat="1"/>
    <xf numFmtId="0" fontId="3" fillId="5" borderId="2" xfId="0" applyFont="1" applyFill="1" applyBorder="1" applyAlignment="1" applyProtection="1">
      <alignment horizontal="left"/>
      <protection hidden="1"/>
    </xf>
    <xf numFmtId="0" fontId="15" fillId="3" borderId="0" xfId="0" applyFont="1" applyFill="1" applyAlignment="1" applyProtection="1">
      <alignment horizontal="right" vertical="center" wrapText="1"/>
      <protection hidden="1"/>
    </xf>
    <xf numFmtId="0" fontId="4" fillId="6" borderId="37" xfId="0" applyFont="1" applyFill="1" applyBorder="1" applyAlignment="1" applyProtection="1">
      <alignment horizontal="left" vertical="center" wrapText="1"/>
      <protection hidden="1"/>
    </xf>
    <xf numFmtId="0" fontId="4" fillId="6" borderId="2" xfId="0" applyFont="1" applyFill="1" applyBorder="1" applyAlignment="1" applyProtection="1">
      <alignment horizontal="left" vertical="center" wrapText="1"/>
      <protection hidden="1"/>
    </xf>
    <xf numFmtId="0" fontId="5" fillId="5" borderId="2" xfId="0" applyFont="1" applyFill="1" applyBorder="1" applyAlignment="1" applyProtection="1">
      <alignment horizontal="left"/>
      <protection hidden="1"/>
    </xf>
    <xf numFmtId="0" fontId="2" fillId="3" borderId="0" xfId="0" applyFont="1" applyFill="1" applyAlignment="1" applyProtection="1">
      <alignment horizontal="center"/>
      <protection hidden="1"/>
    </xf>
    <xf numFmtId="0" fontId="30" fillId="44" borderId="14" xfId="0" applyFont="1" applyFill="1" applyBorder="1" applyAlignment="1" applyProtection="1">
      <alignment horizontal="center" vertical="center" wrapText="1"/>
      <protection hidden="1"/>
    </xf>
    <xf numFmtId="0" fontId="30" fillId="19" borderId="15" xfId="0" applyFont="1" applyFill="1" applyBorder="1" applyAlignment="1" applyProtection="1">
      <alignment horizontal="center" vertical="center" wrapText="1"/>
      <protection hidden="1"/>
    </xf>
    <xf numFmtId="0" fontId="30" fillId="19" borderId="16" xfId="0" applyFont="1" applyFill="1" applyBorder="1" applyAlignment="1" applyProtection="1">
      <alignment horizontal="center" vertical="center" wrapText="1"/>
      <protection hidden="1"/>
    </xf>
    <xf numFmtId="0" fontId="30" fillId="19" borderId="17" xfId="0" applyFont="1" applyFill="1" applyBorder="1" applyAlignment="1" applyProtection="1">
      <alignment horizontal="center" vertical="center" wrapText="1"/>
      <protection hidden="1"/>
    </xf>
    <xf numFmtId="0" fontId="30" fillId="19" borderId="18" xfId="0" applyFont="1" applyFill="1" applyBorder="1" applyAlignment="1" applyProtection="1">
      <alignment horizontal="center" vertical="center" wrapText="1"/>
      <protection hidden="1"/>
    </xf>
    <xf numFmtId="0" fontId="30" fillId="19" borderId="19" xfId="0" applyFont="1" applyFill="1" applyBorder="1" applyAlignment="1" applyProtection="1">
      <alignment horizontal="center" vertical="center" wrapText="1"/>
      <protection hidden="1"/>
    </xf>
    <xf numFmtId="0" fontId="49" fillId="0" borderId="14" xfId="0" applyFont="1" applyBorder="1" applyAlignment="1" applyProtection="1">
      <alignment horizontal="left" vertical="center" wrapText="1"/>
      <protection hidden="1"/>
    </xf>
    <xf numFmtId="0" fontId="49" fillId="0" borderId="15" xfId="0" applyFont="1" applyBorder="1" applyAlignment="1" applyProtection="1">
      <alignment horizontal="left" vertical="center" wrapText="1"/>
      <protection hidden="1"/>
    </xf>
    <xf numFmtId="0" fontId="49" fillId="0" borderId="16" xfId="0" applyFont="1" applyBorder="1" applyAlignment="1" applyProtection="1">
      <alignment horizontal="left" vertical="center" wrapText="1"/>
      <protection hidden="1"/>
    </xf>
    <xf numFmtId="0" fontId="49" fillId="0" borderId="20" xfId="0" applyFont="1" applyBorder="1" applyAlignment="1" applyProtection="1">
      <alignment horizontal="left" vertical="center" wrapText="1"/>
      <protection hidden="1"/>
    </xf>
    <xf numFmtId="0" fontId="49" fillId="0" borderId="0" xfId="0" applyFont="1" applyAlignment="1" applyProtection="1">
      <alignment horizontal="left" vertical="center" wrapText="1"/>
      <protection hidden="1"/>
    </xf>
    <xf numFmtId="0" fontId="49" fillId="0" borderId="21" xfId="0" applyFont="1" applyBorder="1" applyAlignment="1" applyProtection="1">
      <alignment horizontal="left" vertical="center" wrapText="1"/>
      <protection hidden="1"/>
    </xf>
    <xf numFmtId="0" fontId="30" fillId="13" borderId="14" xfId="0" applyFont="1" applyFill="1" applyBorder="1" applyAlignment="1" applyProtection="1">
      <alignment horizontal="center" vertical="center" wrapText="1"/>
      <protection hidden="1"/>
    </xf>
    <xf numFmtId="0" fontId="30" fillId="13" borderId="15" xfId="0" applyFont="1" applyFill="1" applyBorder="1" applyAlignment="1" applyProtection="1">
      <alignment horizontal="center" vertical="center" wrapText="1"/>
      <protection hidden="1"/>
    </xf>
    <xf numFmtId="0" fontId="30" fillId="13" borderId="16" xfId="0" applyFont="1" applyFill="1" applyBorder="1" applyAlignment="1" applyProtection="1">
      <alignment horizontal="center" vertical="center" wrapText="1"/>
      <protection hidden="1"/>
    </xf>
    <xf numFmtId="0" fontId="30" fillId="13" borderId="17" xfId="0" applyFont="1" applyFill="1" applyBorder="1" applyAlignment="1" applyProtection="1">
      <alignment horizontal="center" vertical="center" wrapText="1"/>
      <protection hidden="1"/>
    </xf>
    <xf numFmtId="0" fontId="30" fillId="13" borderId="18" xfId="0" applyFont="1" applyFill="1" applyBorder="1" applyAlignment="1" applyProtection="1">
      <alignment horizontal="center" vertical="center" wrapText="1"/>
      <protection hidden="1"/>
    </xf>
    <xf numFmtId="0" fontId="30" fillId="13" borderId="19" xfId="0" applyFont="1" applyFill="1" applyBorder="1" applyAlignment="1" applyProtection="1">
      <alignment horizontal="center" vertical="center" wrapText="1"/>
      <protection hidden="1"/>
    </xf>
    <xf numFmtId="0" fontId="22" fillId="22" borderId="14" xfId="0" applyFont="1" applyFill="1" applyBorder="1" applyAlignment="1" applyProtection="1">
      <alignment horizontal="center" vertical="center"/>
      <protection hidden="1"/>
    </xf>
    <xf numFmtId="0" fontId="22" fillId="22" borderId="15" xfId="0" applyFont="1" applyFill="1" applyBorder="1" applyAlignment="1" applyProtection="1">
      <alignment horizontal="center" vertical="center"/>
      <protection hidden="1"/>
    </xf>
    <xf numFmtId="0" fontId="22" fillId="22" borderId="16" xfId="0" applyFont="1" applyFill="1" applyBorder="1" applyAlignment="1" applyProtection="1">
      <alignment horizontal="center" vertical="center"/>
      <protection hidden="1"/>
    </xf>
    <xf numFmtId="0" fontId="30" fillId="38" borderId="15" xfId="0" applyFont="1" applyFill="1" applyBorder="1" applyAlignment="1" applyProtection="1">
      <alignment horizontal="center" vertical="center" wrapText="1"/>
      <protection hidden="1"/>
    </xf>
    <xf numFmtId="0" fontId="30" fillId="38" borderId="16" xfId="0" applyFont="1" applyFill="1" applyBorder="1" applyAlignment="1" applyProtection="1">
      <alignment horizontal="center" vertical="center" wrapText="1"/>
      <protection hidden="1"/>
    </xf>
    <xf numFmtId="0" fontId="30" fillId="38" borderId="18" xfId="0" applyFont="1" applyFill="1" applyBorder="1" applyAlignment="1" applyProtection="1">
      <alignment horizontal="center" vertical="center" wrapText="1"/>
      <protection hidden="1"/>
    </xf>
    <xf numFmtId="0" fontId="30" fillId="38" borderId="19" xfId="0" applyFont="1" applyFill="1" applyBorder="1" applyAlignment="1" applyProtection="1">
      <alignment horizontal="center" vertical="center" wrapText="1"/>
      <protection hidden="1"/>
    </xf>
    <xf numFmtId="0" fontId="22" fillId="18" borderId="20" xfId="0" applyFont="1" applyFill="1" applyBorder="1" applyAlignment="1" applyProtection="1">
      <alignment horizontal="center" vertical="center"/>
      <protection hidden="1"/>
    </xf>
    <xf numFmtId="0" fontId="22" fillId="18" borderId="0" xfId="0" applyFont="1" applyFill="1" applyAlignment="1" applyProtection="1">
      <alignment horizontal="center" vertical="center"/>
      <protection hidden="1"/>
    </xf>
    <xf numFmtId="0" fontId="22" fillId="18" borderId="21" xfId="0" applyFont="1" applyFill="1" applyBorder="1" applyAlignment="1" applyProtection="1">
      <alignment horizontal="center" vertical="center"/>
      <protection hidden="1"/>
    </xf>
    <xf numFmtId="0" fontId="22" fillId="18" borderId="14" xfId="0" applyFont="1" applyFill="1" applyBorder="1" applyAlignment="1" applyProtection="1">
      <alignment horizontal="center" vertical="center"/>
      <protection hidden="1"/>
    </xf>
    <xf numFmtId="0" fontId="22" fillId="18" borderId="15" xfId="0" applyFont="1" applyFill="1" applyBorder="1" applyAlignment="1" applyProtection="1">
      <alignment horizontal="center" vertical="center"/>
      <protection hidden="1"/>
    </xf>
    <xf numFmtId="0" fontId="22" fillId="18" borderId="16" xfId="0" applyFont="1" applyFill="1" applyBorder="1" applyAlignment="1" applyProtection="1">
      <alignment horizontal="center" vertical="center"/>
      <protection hidden="1"/>
    </xf>
    <xf numFmtId="0" fontId="45" fillId="39" borderId="14" xfId="0" applyFont="1" applyFill="1" applyBorder="1" applyAlignment="1" applyProtection="1">
      <alignment horizontal="center" vertical="center" wrapText="1"/>
      <protection hidden="1"/>
    </xf>
    <xf numFmtId="0" fontId="45" fillId="39" borderId="15" xfId="0" applyFont="1" applyFill="1" applyBorder="1" applyAlignment="1" applyProtection="1">
      <alignment horizontal="center" vertical="center" wrapText="1"/>
      <protection hidden="1"/>
    </xf>
    <xf numFmtId="0" fontId="45" fillId="39" borderId="16" xfId="0" applyFont="1" applyFill="1" applyBorder="1" applyAlignment="1" applyProtection="1">
      <alignment horizontal="center" vertical="center" wrapText="1"/>
      <protection hidden="1"/>
    </xf>
    <xf numFmtId="0" fontId="45" fillId="39" borderId="17" xfId="0" applyFont="1" applyFill="1" applyBorder="1" applyAlignment="1" applyProtection="1">
      <alignment horizontal="center" vertical="center" wrapText="1"/>
      <protection hidden="1"/>
    </xf>
    <xf numFmtId="0" fontId="45" fillId="39" borderId="18" xfId="0" applyFont="1" applyFill="1" applyBorder="1" applyAlignment="1" applyProtection="1">
      <alignment horizontal="center" vertical="center" wrapText="1"/>
      <protection hidden="1"/>
    </xf>
    <xf numFmtId="0" fontId="45" fillId="39" borderId="19" xfId="0" applyFont="1" applyFill="1" applyBorder="1" applyAlignment="1" applyProtection="1">
      <alignment horizontal="center" vertical="center" wrapText="1"/>
      <protection hidden="1"/>
    </xf>
    <xf numFmtId="0" fontId="30" fillId="43" borderId="14" xfId="0" applyFont="1" applyFill="1" applyBorder="1" applyAlignment="1" applyProtection="1">
      <alignment horizontal="center" vertical="center" wrapText="1"/>
      <protection hidden="1"/>
    </xf>
    <xf numFmtId="0" fontId="30" fillId="43" borderId="15" xfId="0" applyFont="1" applyFill="1" applyBorder="1" applyAlignment="1" applyProtection="1">
      <alignment horizontal="center" vertical="center" wrapText="1"/>
      <protection hidden="1"/>
    </xf>
    <xf numFmtId="0" fontId="30" fillId="43" borderId="16" xfId="0" applyFont="1" applyFill="1" applyBorder="1" applyAlignment="1" applyProtection="1">
      <alignment horizontal="center" vertical="center" wrapText="1"/>
      <protection hidden="1"/>
    </xf>
    <xf numFmtId="0" fontId="30" fillId="43" borderId="17" xfId="0" applyFont="1" applyFill="1" applyBorder="1" applyAlignment="1" applyProtection="1">
      <alignment horizontal="center" vertical="center" wrapText="1"/>
      <protection hidden="1"/>
    </xf>
    <xf numFmtId="0" fontId="30" fillId="43" borderId="18" xfId="0" applyFont="1" applyFill="1" applyBorder="1" applyAlignment="1" applyProtection="1">
      <alignment horizontal="center" vertical="center" wrapText="1"/>
      <protection hidden="1"/>
    </xf>
    <xf numFmtId="0" fontId="30" fillId="43" borderId="19" xfId="0" applyFont="1" applyFill="1" applyBorder="1" applyAlignment="1" applyProtection="1">
      <alignment horizontal="center" vertical="center" wrapText="1"/>
      <protection hidden="1"/>
    </xf>
    <xf numFmtId="0" fontId="31" fillId="26" borderId="14" xfId="0" applyFont="1" applyFill="1" applyBorder="1" applyAlignment="1" applyProtection="1">
      <alignment horizontal="center" vertical="center" wrapText="1"/>
      <protection hidden="1"/>
    </xf>
    <xf numFmtId="0" fontId="31" fillId="26" borderId="15" xfId="0" applyFont="1" applyFill="1" applyBorder="1" applyAlignment="1" applyProtection="1">
      <alignment horizontal="center" vertical="center" wrapText="1"/>
      <protection hidden="1"/>
    </xf>
    <xf numFmtId="0" fontId="31" fillId="26" borderId="16" xfId="0" applyFont="1" applyFill="1" applyBorder="1" applyAlignment="1" applyProtection="1">
      <alignment horizontal="center" vertical="center" wrapText="1"/>
      <protection hidden="1"/>
    </xf>
    <xf numFmtId="0" fontId="31" fillId="26" borderId="17" xfId="0" applyFont="1" applyFill="1" applyBorder="1" applyAlignment="1" applyProtection="1">
      <alignment horizontal="center" vertical="center" wrapText="1"/>
      <protection hidden="1"/>
    </xf>
    <xf numFmtId="0" fontId="31" fillId="26" borderId="18" xfId="0" applyFont="1" applyFill="1" applyBorder="1" applyAlignment="1" applyProtection="1">
      <alignment horizontal="center" vertical="center" wrapText="1"/>
      <protection hidden="1"/>
    </xf>
    <xf numFmtId="0" fontId="31" fillId="26" borderId="19" xfId="0" applyFont="1" applyFill="1" applyBorder="1" applyAlignment="1" applyProtection="1">
      <alignment horizontal="center" vertical="center" wrapText="1"/>
      <protection hidden="1"/>
    </xf>
    <xf numFmtId="0" fontId="25" fillId="6" borderId="11" xfId="0" applyFont="1" applyFill="1" applyBorder="1" applyAlignment="1" applyProtection="1">
      <alignment horizontal="center" vertical="center"/>
      <protection hidden="1"/>
    </xf>
    <xf numFmtId="0" fontId="25" fillId="6" borderId="12" xfId="0" applyFont="1" applyFill="1" applyBorder="1" applyAlignment="1" applyProtection="1">
      <alignment horizontal="center" vertical="center"/>
      <protection hidden="1"/>
    </xf>
    <xf numFmtId="0" fontId="25" fillId="6" borderId="13" xfId="0" applyFont="1" applyFill="1" applyBorder="1" applyAlignment="1" applyProtection="1">
      <alignment horizontal="center" vertical="center"/>
      <protection hidden="1"/>
    </xf>
    <xf numFmtId="0" fontId="22" fillId="22" borderId="11" xfId="0" applyFont="1" applyFill="1" applyBorder="1" applyAlignment="1" applyProtection="1">
      <alignment horizontal="center" vertical="center"/>
      <protection hidden="1"/>
    </xf>
    <xf numFmtId="0" fontId="22" fillId="22" borderId="12" xfId="0" applyFont="1" applyFill="1" applyBorder="1" applyAlignment="1" applyProtection="1">
      <alignment horizontal="center" vertical="center"/>
      <protection hidden="1"/>
    </xf>
    <xf numFmtId="0" fontId="22" fillId="22" borderId="13" xfId="0" applyFont="1" applyFill="1" applyBorder="1" applyAlignment="1" applyProtection="1">
      <alignment horizontal="center" vertical="center"/>
      <protection hidden="1"/>
    </xf>
    <xf numFmtId="0" fontId="25" fillId="21" borderId="11" xfId="0" applyFont="1" applyFill="1" applyBorder="1" applyAlignment="1" applyProtection="1">
      <alignment horizontal="center" vertical="center"/>
      <protection hidden="1"/>
    </xf>
    <xf numFmtId="0" fontId="25" fillId="21" borderId="12" xfId="0" applyFont="1" applyFill="1" applyBorder="1" applyAlignment="1" applyProtection="1">
      <alignment horizontal="center" vertical="center"/>
      <protection hidden="1"/>
    </xf>
    <xf numFmtId="0" fontId="25" fillId="21" borderId="13" xfId="0" applyFont="1" applyFill="1" applyBorder="1" applyAlignment="1" applyProtection="1">
      <alignment horizontal="center" vertical="center"/>
      <protection hidden="1"/>
    </xf>
    <xf numFmtId="0" fontId="22" fillId="27" borderId="11" xfId="0" applyFont="1" applyFill="1" applyBorder="1" applyAlignment="1" applyProtection="1">
      <alignment horizontal="center" vertical="center"/>
      <protection hidden="1"/>
    </xf>
    <xf numFmtId="0" fontId="22" fillId="27" borderId="12" xfId="0" applyFont="1" applyFill="1" applyBorder="1" applyAlignment="1" applyProtection="1">
      <alignment horizontal="center" vertical="center"/>
      <protection hidden="1"/>
    </xf>
    <xf numFmtId="0" fontId="22" fillId="27" borderId="13" xfId="0" applyFont="1" applyFill="1" applyBorder="1" applyAlignment="1" applyProtection="1">
      <alignment horizontal="center" vertical="center"/>
      <protection hidden="1"/>
    </xf>
    <xf numFmtId="0" fontId="22" fillId="18" borderId="17" xfId="0" applyFont="1" applyFill="1" applyBorder="1" applyAlignment="1" applyProtection="1">
      <alignment horizontal="center" vertical="center"/>
      <protection hidden="1"/>
    </xf>
    <xf numFmtId="0" fontId="22" fillId="18" borderId="18" xfId="0" applyFont="1" applyFill="1" applyBorder="1" applyAlignment="1" applyProtection="1">
      <alignment horizontal="center" vertical="center"/>
      <protection hidden="1"/>
    </xf>
    <xf numFmtId="0" fontId="22" fillId="18" borderId="19" xfId="0" applyFont="1" applyFill="1" applyBorder="1" applyAlignment="1" applyProtection="1">
      <alignment horizontal="center" vertical="center"/>
      <protection hidden="1"/>
    </xf>
    <xf numFmtId="0" fontId="24" fillId="12" borderId="14" xfId="0" applyFont="1" applyFill="1" applyBorder="1" applyAlignment="1" applyProtection="1">
      <alignment horizontal="center" vertical="center"/>
      <protection hidden="1"/>
    </xf>
    <xf numFmtId="0" fontId="24" fillId="12" borderId="15" xfId="0" applyFont="1" applyFill="1" applyBorder="1" applyAlignment="1" applyProtection="1">
      <alignment horizontal="center" vertical="center"/>
      <protection hidden="1"/>
    </xf>
    <xf numFmtId="0" fontId="24" fillId="12" borderId="16" xfId="0" applyFont="1" applyFill="1" applyBorder="1" applyAlignment="1" applyProtection="1">
      <alignment horizontal="center" vertical="center"/>
      <protection hidden="1"/>
    </xf>
    <xf numFmtId="0" fontId="21" fillId="12" borderId="17" xfId="0" applyFont="1" applyFill="1" applyBorder="1" applyAlignment="1" applyProtection="1">
      <alignment horizontal="center" vertical="center"/>
      <protection hidden="1"/>
    </xf>
    <xf numFmtId="0" fontId="21" fillId="12" borderId="18" xfId="0" applyFont="1" applyFill="1" applyBorder="1" applyAlignment="1" applyProtection="1">
      <alignment horizontal="center" vertical="center"/>
      <protection hidden="1"/>
    </xf>
    <xf numFmtId="0" fontId="21" fillId="12" borderId="19" xfId="0" applyFont="1" applyFill="1" applyBorder="1" applyAlignment="1" applyProtection="1">
      <alignment horizontal="center" vertical="center"/>
      <protection hidden="1"/>
    </xf>
    <xf numFmtId="0" fontId="24" fillId="0" borderId="11" xfId="0" applyFont="1" applyBorder="1" applyAlignment="1" applyProtection="1">
      <alignment horizontal="center" vertical="center" wrapText="1"/>
      <protection hidden="1"/>
    </xf>
    <xf numFmtId="0" fontId="24" fillId="0" borderId="13" xfId="0" applyFont="1" applyBorder="1" applyAlignment="1" applyProtection="1">
      <alignment horizontal="center" vertical="center" wrapText="1"/>
      <protection hidden="1"/>
    </xf>
    <xf numFmtId="0" fontId="22" fillId="14" borderId="0" xfId="0" applyFont="1" applyFill="1" applyAlignment="1" applyProtection="1">
      <alignment horizontal="center" vertical="center" wrapText="1"/>
      <protection hidden="1"/>
    </xf>
    <xf numFmtId="0" fontId="22" fillId="14" borderId="21" xfId="0" applyFont="1" applyFill="1" applyBorder="1" applyAlignment="1" applyProtection="1">
      <alignment horizontal="center" vertical="center" wrapText="1"/>
      <protection hidden="1"/>
    </xf>
    <xf numFmtId="0" fontId="22" fillId="14" borderId="18" xfId="0" applyFont="1" applyFill="1" applyBorder="1" applyAlignment="1" applyProtection="1">
      <alignment horizontal="center" vertical="center" wrapText="1"/>
      <protection hidden="1"/>
    </xf>
    <xf numFmtId="0" fontId="22" fillId="14" borderId="19" xfId="0" applyFont="1" applyFill="1" applyBorder="1" applyAlignment="1" applyProtection="1">
      <alignment horizontal="center" vertical="center" wrapText="1"/>
      <protection hidden="1"/>
    </xf>
    <xf numFmtId="0" fontId="24" fillId="9" borderId="20" xfId="0" applyFont="1" applyFill="1" applyBorder="1" applyAlignment="1" applyProtection="1">
      <alignment horizontal="center" vertical="center" wrapText="1"/>
      <protection hidden="1"/>
    </xf>
    <xf numFmtId="0" fontId="24" fillId="9" borderId="0" xfId="0" applyFont="1" applyFill="1" applyAlignment="1" applyProtection="1">
      <alignment horizontal="center" vertical="center" wrapText="1"/>
      <protection hidden="1"/>
    </xf>
    <xf numFmtId="0" fontId="24" fillId="9" borderId="21" xfId="0" applyFont="1" applyFill="1" applyBorder="1" applyAlignment="1" applyProtection="1">
      <alignment horizontal="center" vertical="center" wrapText="1"/>
      <protection hidden="1"/>
    </xf>
    <xf numFmtId="0" fontId="24" fillId="9" borderId="17" xfId="0" applyFont="1" applyFill="1" applyBorder="1" applyAlignment="1" applyProtection="1">
      <alignment horizontal="center" vertical="center" wrapText="1"/>
      <protection hidden="1"/>
    </xf>
    <xf numFmtId="0" fontId="24" fillId="9" borderId="18" xfId="0" applyFont="1" applyFill="1" applyBorder="1" applyAlignment="1" applyProtection="1">
      <alignment horizontal="center" vertical="center" wrapText="1"/>
      <protection hidden="1"/>
    </xf>
    <xf numFmtId="0" fontId="24" fillId="9" borderId="19" xfId="0" applyFont="1" applyFill="1" applyBorder="1" applyAlignment="1" applyProtection="1">
      <alignment horizontal="center" vertical="center" wrapText="1"/>
      <protection hidden="1"/>
    </xf>
    <xf numFmtId="0" fontId="22" fillId="13" borderId="11" xfId="0" applyFont="1" applyFill="1" applyBorder="1" applyAlignment="1" applyProtection="1">
      <alignment horizontal="center" vertical="center"/>
      <protection hidden="1"/>
    </xf>
    <xf numFmtId="0" fontId="22" fillId="13" borderId="12" xfId="0" applyFont="1" applyFill="1" applyBorder="1" applyAlignment="1" applyProtection="1">
      <alignment horizontal="center" vertical="center"/>
      <protection hidden="1"/>
    </xf>
    <xf numFmtId="0" fontId="22" fillId="13" borderId="13" xfId="0" applyFont="1" applyFill="1" applyBorder="1" applyAlignment="1" applyProtection="1">
      <alignment horizontal="center" vertical="center"/>
      <protection hidden="1"/>
    </xf>
    <xf numFmtId="0" fontId="22" fillId="18" borderId="12" xfId="0" applyFont="1" applyFill="1" applyBorder="1" applyAlignment="1" applyProtection="1">
      <alignment horizontal="center" vertical="center"/>
      <protection hidden="1"/>
    </xf>
    <xf numFmtId="0" fontId="22" fillId="18" borderId="11" xfId="0" applyFont="1" applyFill="1" applyBorder="1" applyAlignment="1" applyProtection="1">
      <alignment horizontal="center" vertical="center"/>
      <protection hidden="1"/>
    </xf>
    <xf numFmtId="0" fontId="22" fillId="18" borderId="13" xfId="0" applyFont="1" applyFill="1" applyBorder="1" applyAlignment="1" applyProtection="1">
      <alignment horizontal="center" vertical="center"/>
      <protection hidden="1"/>
    </xf>
    <xf numFmtId="0" fontId="24" fillId="32" borderId="11" xfId="0" applyFont="1" applyFill="1" applyBorder="1" applyAlignment="1" applyProtection="1">
      <alignment horizontal="center" vertical="center"/>
      <protection hidden="1"/>
    </xf>
    <xf numFmtId="0" fontId="24" fillId="32" borderId="12" xfId="0" applyFont="1" applyFill="1" applyBorder="1" applyAlignment="1" applyProtection="1">
      <alignment horizontal="center" vertical="center"/>
      <protection hidden="1"/>
    </xf>
    <xf numFmtId="0" fontId="24" fillId="32" borderId="13" xfId="0" applyFont="1" applyFill="1" applyBorder="1" applyAlignment="1" applyProtection="1">
      <alignment horizontal="center" vertical="center"/>
      <protection hidden="1"/>
    </xf>
    <xf numFmtId="0" fontId="24" fillId="11" borderId="10" xfId="0" applyFont="1" applyFill="1" applyBorder="1" applyAlignment="1" applyProtection="1">
      <alignment horizontal="center" vertical="center"/>
      <protection hidden="1"/>
    </xf>
    <xf numFmtId="0" fontId="24" fillId="17" borderId="10" xfId="0" applyFont="1" applyFill="1" applyBorder="1" applyAlignment="1" applyProtection="1">
      <alignment horizontal="center" vertical="center"/>
      <protection hidden="1"/>
    </xf>
    <xf numFmtId="0" fontId="22" fillId="16" borderId="10" xfId="0" applyFont="1" applyFill="1" applyBorder="1" applyAlignment="1" applyProtection="1">
      <alignment horizontal="center" vertical="center" wrapText="1"/>
      <protection hidden="1"/>
    </xf>
    <xf numFmtId="0" fontId="22" fillId="14" borderId="10" xfId="0" applyFont="1" applyFill="1" applyBorder="1" applyAlignment="1" applyProtection="1">
      <alignment horizontal="center" vertical="center"/>
      <protection hidden="1"/>
    </xf>
    <xf numFmtId="0" fontId="24" fillId="9" borderId="10" xfId="0" applyFont="1" applyFill="1" applyBorder="1" applyAlignment="1" applyProtection="1">
      <alignment horizontal="center" vertical="center"/>
      <protection hidden="1"/>
    </xf>
    <xf numFmtId="0" fontId="22" fillId="31" borderId="10" xfId="0" applyFont="1" applyFill="1" applyBorder="1" applyAlignment="1" applyProtection="1">
      <alignment horizontal="center" vertical="center" wrapText="1"/>
      <protection hidden="1"/>
    </xf>
    <xf numFmtId="0" fontId="22" fillId="25" borderId="14" xfId="0" applyFont="1" applyFill="1" applyBorder="1" applyAlignment="1" applyProtection="1">
      <alignment horizontal="center" vertical="center"/>
      <protection hidden="1"/>
    </xf>
    <xf numFmtId="0" fontId="22" fillId="25" borderId="16" xfId="0" applyFont="1" applyFill="1" applyBorder="1" applyAlignment="1" applyProtection="1">
      <alignment horizontal="center" vertical="center"/>
      <protection hidden="1"/>
    </xf>
    <xf numFmtId="0" fontId="22" fillId="24" borderId="14" xfId="0" applyFont="1" applyFill="1" applyBorder="1" applyAlignment="1" applyProtection="1">
      <alignment horizontal="center" vertical="center"/>
      <protection hidden="1"/>
    </xf>
    <xf numFmtId="0" fontId="22" fillId="24" borderId="16" xfId="0" applyFont="1" applyFill="1" applyBorder="1" applyAlignment="1" applyProtection="1">
      <alignment horizontal="center" vertical="center"/>
      <protection hidden="1"/>
    </xf>
    <xf numFmtId="0" fontId="22" fillId="13" borderId="14" xfId="0" applyFont="1" applyFill="1" applyBorder="1" applyAlignment="1" applyProtection="1">
      <alignment horizontal="center" vertical="center"/>
      <protection hidden="1"/>
    </xf>
    <xf numFmtId="0" fontId="22" fillId="13" borderId="16" xfId="0" applyFont="1" applyFill="1" applyBorder="1" applyAlignment="1" applyProtection="1">
      <alignment horizontal="center" vertical="center"/>
      <protection hidden="1"/>
    </xf>
    <xf numFmtId="0" fontId="24" fillId="23" borderId="14" xfId="0" applyFont="1" applyFill="1" applyBorder="1" applyAlignment="1" applyProtection="1">
      <alignment horizontal="center" vertical="center"/>
      <protection hidden="1"/>
    </xf>
    <xf numFmtId="0" fontId="24" fillId="23" borderId="16" xfId="0" applyFont="1" applyFill="1" applyBorder="1" applyAlignment="1" applyProtection="1">
      <alignment horizontal="center" vertical="center"/>
      <protection hidden="1"/>
    </xf>
    <xf numFmtId="0" fontId="25" fillId="26" borderId="11" xfId="0" applyFont="1" applyFill="1" applyBorder="1" applyAlignment="1" applyProtection="1">
      <alignment horizontal="center" vertical="center"/>
      <protection hidden="1"/>
    </xf>
    <xf numFmtId="0" fontId="25" fillId="26" borderId="13" xfId="0" applyFont="1" applyFill="1" applyBorder="1" applyAlignment="1" applyProtection="1">
      <alignment horizontal="center" vertical="center"/>
      <protection hidden="1"/>
    </xf>
    <xf numFmtId="0" fontId="22" fillId="31" borderId="20" xfId="0" applyFont="1" applyFill="1" applyBorder="1" applyAlignment="1" applyProtection="1">
      <alignment horizontal="center" vertical="center" wrapText="1"/>
      <protection hidden="1"/>
    </xf>
    <xf numFmtId="0" fontId="22" fillId="31" borderId="0" xfId="0" applyFont="1" applyFill="1" applyAlignment="1" applyProtection="1">
      <alignment horizontal="center" vertical="center" wrapText="1"/>
      <protection hidden="1"/>
    </xf>
    <xf numFmtId="0" fontId="22" fillId="31" borderId="21" xfId="0" applyFont="1" applyFill="1" applyBorder="1" applyAlignment="1" applyProtection="1">
      <alignment horizontal="center" vertical="center" wrapText="1"/>
      <protection hidden="1"/>
    </xf>
    <xf numFmtId="0" fontId="22" fillId="31" borderId="17" xfId="0" applyFont="1" applyFill="1" applyBorder="1" applyAlignment="1" applyProtection="1">
      <alignment horizontal="center" vertical="center" wrapText="1"/>
      <protection hidden="1"/>
    </xf>
    <xf numFmtId="0" fontId="22" fillId="31" borderId="18" xfId="0" applyFont="1" applyFill="1" applyBorder="1" applyAlignment="1" applyProtection="1">
      <alignment horizontal="center" vertical="center" wrapText="1"/>
      <protection hidden="1"/>
    </xf>
    <xf numFmtId="0" fontId="22" fillId="31" borderId="19" xfId="0" applyFont="1" applyFill="1" applyBorder="1" applyAlignment="1" applyProtection="1">
      <alignment horizontal="center" vertical="center" wrapText="1"/>
      <protection hidden="1"/>
    </xf>
    <xf numFmtId="0" fontId="24" fillId="45" borderId="11" xfId="0" applyFont="1" applyFill="1" applyBorder="1" applyAlignment="1" applyProtection="1">
      <alignment horizontal="center" vertical="center"/>
      <protection hidden="1"/>
    </xf>
    <xf numFmtId="0" fontId="24" fillId="45" borderId="13" xfId="0" applyFont="1" applyFill="1" applyBorder="1" applyAlignment="1" applyProtection="1">
      <alignment horizontal="center" vertical="center"/>
      <protection hidden="1"/>
    </xf>
    <xf numFmtId="0" fontId="24" fillId="15" borderId="11" xfId="0" applyFont="1" applyFill="1" applyBorder="1" applyAlignment="1" applyProtection="1">
      <alignment horizontal="center" vertical="center"/>
      <protection hidden="1"/>
    </xf>
    <xf numFmtId="0" fontId="24" fillId="15" borderId="12" xfId="0" applyFont="1" applyFill="1" applyBorder="1" applyAlignment="1" applyProtection="1">
      <alignment horizontal="center" vertical="center"/>
      <protection hidden="1"/>
    </xf>
    <xf numFmtId="0" fontId="24" fillId="15" borderId="13" xfId="0" applyFont="1" applyFill="1" applyBorder="1" applyAlignment="1" applyProtection="1">
      <alignment horizontal="center" vertical="center"/>
      <protection hidden="1"/>
    </xf>
    <xf numFmtId="0" fontId="22" fillId="16" borderId="14" xfId="0" applyFont="1" applyFill="1" applyBorder="1" applyAlignment="1" applyProtection="1">
      <alignment horizontal="center" vertical="center" wrapText="1"/>
      <protection hidden="1"/>
    </xf>
    <xf numFmtId="0" fontId="22" fillId="16" borderId="15" xfId="0" applyFont="1" applyFill="1" applyBorder="1" applyAlignment="1" applyProtection="1">
      <alignment horizontal="center" vertical="center" wrapText="1"/>
      <protection hidden="1"/>
    </xf>
    <xf numFmtId="0" fontId="22" fillId="16" borderId="16" xfId="0" applyFont="1" applyFill="1" applyBorder="1" applyAlignment="1" applyProtection="1">
      <alignment horizontal="center" vertical="center" wrapText="1"/>
      <protection hidden="1"/>
    </xf>
    <xf numFmtId="0" fontId="22" fillId="16" borderId="17" xfId="0" applyFont="1" applyFill="1" applyBorder="1" applyAlignment="1" applyProtection="1">
      <alignment horizontal="center" vertical="center" wrapText="1"/>
      <protection hidden="1"/>
    </xf>
    <xf numFmtId="0" fontId="22" fillId="16" borderId="18" xfId="0" applyFont="1" applyFill="1" applyBorder="1" applyAlignment="1" applyProtection="1">
      <alignment horizontal="center" vertical="center" wrapText="1"/>
      <protection hidden="1"/>
    </xf>
    <xf numFmtId="0" fontId="22" fillId="16" borderId="19" xfId="0" applyFont="1" applyFill="1" applyBorder="1" applyAlignment="1" applyProtection="1">
      <alignment horizontal="center" vertical="center" wrapText="1"/>
      <protection hidden="1"/>
    </xf>
    <xf numFmtId="0" fontId="24" fillId="2" borderId="11" xfId="0" applyFont="1" applyFill="1" applyBorder="1" applyAlignment="1" applyProtection="1">
      <alignment horizontal="center" vertical="center"/>
      <protection hidden="1"/>
    </xf>
    <xf numFmtId="0" fontId="24" fillId="2" borderId="13" xfId="0" applyFont="1" applyFill="1" applyBorder="1" applyAlignment="1" applyProtection="1">
      <alignment horizontal="center" vertical="center"/>
      <protection hidden="1"/>
    </xf>
    <xf numFmtId="0" fontId="24" fillId="11" borderId="11" xfId="0" applyFont="1" applyFill="1" applyBorder="1" applyAlignment="1" applyProtection="1">
      <alignment horizontal="center" vertical="center"/>
      <protection hidden="1"/>
    </xf>
    <xf numFmtId="0" fontId="24" fillId="11" borderId="12" xfId="0" applyFont="1" applyFill="1" applyBorder="1" applyAlignment="1" applyProtection="1">
      <alignment horizontal="center" vertical="center"/>
      <protection hidden="1"/>
    </xf>
    <xf numFmtId="0" fontId="24" fillId="11" borderId="13" xfId="0" applyFont="1" applyFill="1" applyBorder="1" applyAlignment="1" applyProtection="1">
      <alignment horizontal="center" vertical="center"/>
      <protection hidden="1"/>
    </xf>
    <xf numFmtId="0" fontId="24" fillId="17" borderId="11" xfId="0" applyFont="1" applyFill="1" applyBorder="1" applyAlignment="1" applyProtection="1">
      <alignment horizontal="center" vertical="center"/>
      <protection hidden="1"/>
    </xf>
    <xf numFmtId="0" fontId="24" fillId="17" borderId="12" xfId="0" applyFont="1" applyFill="1" applyBorder="1" applyAlignment="1" applyProtection="1">
      <alignment horizontal="center" vertical="center"/>
      <protection hidden="1"/>
    </xf>
    <xf numFmtId="1" fontId="27" fillId="32" borderId="11" xfId="1" applyNumberFormat="1" applyFont="1" applyFill="1" applyBorder="1" applyAlignment="1" applyProtection="1">
      <alignment horizontal="right" vertical="center"/>
      <protection hidden="1"/>
    </xf>
    <xf numFmtId="1" fontId="27" fillId="32" borderId="12" xfId="1" applyNumberFormat="1" applyFont="1" applyFill="1" applyBorder="1" applyAlignment="1" applyProtection="1">
      <alignment horizontal="right" vertical="center"/>
      <protection hidden="1"/>
    </xf>
    <xf numFmtId="0" fontId="22" fillId="25" borderId="11" xfId="0" applyFont="1" applyFill="1" applyBorder="1" applyAlignment="1" applyProtection="1">
      <alignment horizontal="center" vertical="center"/>
      <protection hidden="1"/>
    </xf>
    <xf numFmtId="0" fontId="22" fillId="25" borderId="12" xfId="0" applyFont="1" applyFill="1" applyBorder="1" applyAlignment="1" applyProtection="1">
      <alignment horizontal="center" vertical="center"/>
      <protection hidden="1"/>
    </xf>
    <xf numFmtId="0" fontId="24" fillId="0" borderId="12" xfId="0" applyFont="1" applyBorder="1" applyAlignment="1" applyProtection="1">
      <alignment horizontal="center" vertical="center" wrapText="1"/>
      <protection hidden="1"/>
    </xf>
    <xf numFmtId="0" fontId="27" fillId="23" borderId="11" xfId="0" applyFont="1" applyFill="1" applyBorder="1" applyAlignment="1" applyProtection="1">
      <alignment horizontal="center" vertical="center"/>
      <protection hidden="1"/>
    </xf>
    <xf numFmtId="0" fontId="27" fillId="23" borderId="12" xfId="0" applyFont="1" applyFill="1" applyBorder="1" applyAlignment="1" applyProtection="1">
      <alignment horizontal="center" vertical="center"/>
      <protection hidden="1"/>
    </xf>
    <xf numFmtId="0" fontId="27" fillId="23" borderId="13" xfId="0" applyFont="1" applyFill="1" applyBorder="1" applyAlignment="1" applyProtection="1">
      <alignment horizontal="center" vertical="center"/>
      <protection hidden="1"/>
    </xf>
    <xf numFmtId="171" fontId="35" fillId="0" borderId="15" xfId="7" applyNumberFormat="1" applyFont="1" applyBorder="1" applyAlignment="1" applyProtection="1">
      <alignment horizontal="right" vertical="center"/>
      <protection hidden="1"/>
    </xf>
    <xf numFmtId="171" fontId="35" fillId="0" borderId="16" xfId="7" applyNumberFormat="1" applyFont="1" applyBorder="1" applyAlignment="1" applyProtection="1">
      <alignment horizontal="right" vertical="center"/>
      <protection hidden="1"/>
    </xf>
    <xf numFmtId="171" fontId="35" fillId="0" borderId="18" xfId="7" applyNumberFormat="1" applyFont="1" applyBorder="1" applyAlignment="1" applyProtection="1">
      <alignment horizontal="right" vertical="center"/>
      <protection hidden="1"/>
    </xf>
    <xf numFmtId="171" fontId="35" fillId="0" borderId="19" xfId="7" applyNumberFormat="1" applyFont="1" applyBorder="1" applyAlignment="1" applyProtection="1">
      <alignment horizontal="right" vertical="center"/>
      <protection hidden="1"/>
    </xf>
    <xf numFmtId="0" fontId="22" fillId="27" borderId="11" xfId="0" applyFont="1" applyFill="1" applyBorder="1" applyAlignment="1" applyProtection="1">
      <alignment horizontal="right" vertical="center"/>
      <protection hidden="1"/>
    </xf>
    <xf numFmtId="0" fontId="22" fillId="27" borderId="13" xfId="0" applyFont="1" applyFill="1" applyBorder="1" applyAlignment="1" applyProtection="1">
      <alignment horizontal="right" vertical="center"/>
      <protection hidden="1"/>
    </xf>
    <xf numFmtId="1" fontId="22" fillId="13" borderId="11" xfId="1" applyNumberFormat="1" applyFont="1" applyFill="1" applyBorder="1" applyAlignment="1" applyProtection="1">
      <alignment horizontal="right" vertical="center"/>
      <protection hidden="1"/>
    </xf>
    <xf numFmtId="1" fontId="22" fillId="13" borderId="12" xfId="1" applyNumberFormat="1" applyFont="1" applyFill="1" applyBorder="1" applyAlignment="1" applyProtection="1">
      <alignment horizontal="right" vertical="center"/>
      <protection hidden="1"/>
    </xf>
    <xf numFmtId="1" fontId="22" fillId="24" borderId="11" xfId="1" applyNumberFormat="1" applyFont="1" applyFill="1" applyBorder="1" applyAlignment="1" applyProtection="1">
      <alignment horizontal="right" vertical="center"/>
      <protection hidden="1"/>
    </xf>
    <xf numFmtId="1" fontId="22" fillId="25" borderId="12" xfId="1" applyNumberFormat="1" applyFont="1" applyFill="1" applyBorder="1" applyAlignment="1" applyProtection="1">
      <alignment horizontal="right" vertical="center"/>
      <protection hidden="1"/>
    </xf>
    <xf numFmtId="1" fontId="22" fillId="25" borderId="11" xfId="1" applyNumberFormat="1" applyFont="1" applyFill="1" applyBorder="1" applyAlignment="1" applyProtection="1">
      <alignment horizontal="right" vertical="center"/>
      <protection hidden="1"/>
    </xf>
    <xf numFmtId="1" fontId="22" fillId="24" borderId="12" xfId="1" applyNumberFormat="1" applyFont="1" applyFill="1" applyBorder="1" applyAlignment="1" applyProtection="1">
      <alignment horizontal="right" vertical="center"/>
      <protection hidden="1"/>
    </xf>
    <xf numFmtId="0" fontId="22" fillId="24" borderId="11" xfId="0" applyFont="1" applyFill="1" applyBorder="1" applyAlignment="1" applyProtection="1">
      <alignment horizontal="center" vertical="center"/>
      <protection hidden="1"/>
    </xf>
    <xf numFmtId="0" fontId="22" fillId="24" borderId="12" xfId="0" applyFont="1" applyFill="1" applyBorder="1" applyAlignment="1" applyProtection="1">
      <alignment horizontal="center" vertical="center"/>
      <protection hidden="1"/>
    </xf>
    <xf numFmtId="0" fontId="22" fillId="24" borderId="13" xfId="0" applyFont="1" applyFill="1" applyBorder="1" applyAlignment="1" applyProtection="1">
      <alignment horizontal="center" vertical="center"/>
      <protection hidden="1"/>
    </xf>
    <xf numFmtId="0" fontId="33" fillId="33" borderId="14" xfId="0" applyFont="1" applyFill="1" applyBorder="1" applyAlignment="1" applyProtection="1">
      <alignment horizontal="center" vertical="center" wrapText="1"/>
      <protection hidden="1"/>
    </xf>
    <xf numFmtId="0" fontId="33" fillId="33" borderId="16" xfId="0" applyFont="1" applyFill="1" applyBorder="1" applyAlignment="1" applyProtection="1">
      <alignment horizontal="center" vertical="center" wrapText="1"/>
      <protection hidden="1"/>
    </xf>
    <xf numFmtId="0" fontId="33" fillId="33" borderId="17" xfId="0" applyFont="1" applyFill="1" applyBorder="1" applyAlignment="1" applyProtection="1">
      <alignment horizontal="center" vertical="center" wrapText="1"/>
      <protection hidden="1"/>
    </xf>
    <xf numFmtId="0" fontId="33" fillId="33" borderId="19" xfId="0" applyFont="1" applyFill="1" applyBorder="1" applyAlignment="1" applyProtection="1">
      <alignment horizontal="center" vertical="center" wrapText="1"/>
      <protection hidden="1"/>
    </xf>
    <xf numFmtId="0" fontId="30" fillId="28" borderId="14" xfId="0" applyFont="1" applyFill="1" applyBorder="1" applyAlignment="1" applyProtection="1">
      <alignment horizontal="center" vertical="center" wrapText="1"/>
      <protection hidden="1"/>
    </xf>
    <xf numFmtId="0" fontId="30" fillId="28" borderId="15" xfId="0" applyFont="1" applyFill="1" applyBorder="1" applyAlignment="1" applyProtection="1">
      <alignment horizontal="center" vertical="center" wrapText="1"/>
      <protection hidden="1"/>
    </xf>
    <xf numFmtId="0" fontId="30" fillId="28" borderId="16" xfId="0" applyFont="1" applyFill="1" applyBorder="1" applyAlignment="1" applyProtection="1">
      <alignment horizontal="center" vertical="center" wrapText="1"/>
      <protection hidden="1"/>
    </xf>
    <xf numFmtId="0" fontId="30" fillId="28" borderId="17" xfId="0" applyFont="1" applyFill="1" applyBorder="1" applyAlignment="1" applyProtection="1">
      <alignment horizontal="center" vertical="center" wrapText="1"/>
      <protection hidden="1"/>
    </xf>
    <xf numFmtId="0" fontId="30" fillId="28" borderId="18" xfId="0" applyFont="1" applyFill="1" applyBorder="1" applyAlignment="1" applyProtection="1">
      <alignment horizontal="center" vertical="center" wrapText="1"/>
      <protection hidden="1"/>
    </xf>
    <xf numFmtId="0" fontId="30" fillId="28" borderId="19" xfId="0" applyFont="1" applyFill="1" applyBorder="1" applyAlignment="1" applyProtection="1">
      <alignment horizontal="center" vertical="center" wrapText="1"/>
      <protection hidden="1"/>
    </xf>
    <xf numFmtId="0" fontId="45" fillId="37" borderId="23" xfId="0" applyFont="1" applyFill="1" applyBorder="1" applyAlignment="1" applyProtection="1">
      <alignment horizontal="center" vertical="center"/>
      <protection hidden="1"/>
    </xf>
    <xf numFmtId="0" fontId="45" fillId="37" borderId="15" xfId="0" applyFont="1" applyFill="1" applyBorder="1" applyAlignment="1" applyProtection="1">
      <alignment horizontal="center" vertical="center"/>
      <protection hidden="1"/>
    </xf>
    <xf numFmtId="0" fontId="45" fillId="37" borderId="16" xfId="0" applyFont="1" applyFill="1" applyBorder="1" applyAlignment="1" applyProtection="1">
      <alignment horizontal="center" vertical="center"/>
      <protection hidden="1"/>
    </xf>
    <xf numFmtId="0" fontId="45" fillId="37" borderId="22" xfId="0" applyFont="1" applyFill="1" applyBorder="1" applyAlignment="1" applyProtection="1">
      <alignment horizontal="center" vertical="center"/>
      <protection hidden="1"/>
    </xf>
    <xf numFmtId="0" fontId="45" fillId="37" borderId="18" xfId="0" applyFont="1" applyFill="1" applyBorder="1" applyAlignment="1" applyProtection="1">
      <alignment horizontal="center" vertical="center"/>
      <protection hidden="1"/>
    </xf>
    <xf numFmtId="0" fontId="45" fillId="37" borderId="19" xfId="0" applyFont="1" applyFill="1" applyBorder="1" applyAlignment="1" applyProtection="1">
      <alignment horizontal="center" vertical="center"/>
      <protection hidden="1"/>
    </xf>
    <xf numFmtId="0" fontId="33" fillId="8" borderId="14" xfId="0" applyFont="1" applyFill="1" applyBorder="1" applyAlignment="1" applyProtection="1">
      <alignment horizontal="center" vertical="center" wrapText="1"/>
      <protection hidden="1"/>
    </xf>
    <xf numFmtId="0" fontId="33" fillId="8" borderId="16" xfId="0" applyFont="1" applyFill="1" applyBorder="1" applyAlignment="1" applyProtection="1">
      <alignment horizontal="center" vertical="center" wrapText="1"/>
      <protection hidden="1"/>
    </xf>
    <xf numFmtId="0" fontId="33" fillId="8" borderId="17" xfId="0" applyFont="1" applyFill="1" applyBorder="1" applyAlignment="1" applyProtection="1">
      <alignment horizontal="center" vertical="center" wrapText="1"/>
      <protection hidden="1"/>
    </xf>
    <xf numFmtId="0" fontId="33" fillId="8" borderId="19" xfId="0" applyFont="1" applyFill="1" applyBorder="1" applyAlignment="1" applyProtection="1">
      <alignment horizontal="center" vertical="center" wrapText="1"/>
      <protection hidden="1"/>
    </xf>
    <xf numFmtId="0" fontId="30" fillId="41" borderId="14" xfId="0" applyFont="1" applyFill="1" applyBorder="1" applyAlignment="1" applyProtection="1">
      <alignment horizontal="center" vertical="center" wrapText="1"/>
      <protection hidden="1"/>
    </xf>
    <xf numFmtId="0" fontId="30" fillId="41" borderId="15" xfId="0" applyFont="1" applyFill="1" applyBorder="1" applyAlignment="1" applyProtection="1">
      <alignment horizontal="center" vertical="center" wrapText="1"/>
      <protection hidden="1"/>
    </xf>
    <xf numFmtId="0" fontId="30" fillId="41" borderId="16" xfId="0" applyFont="1" applyFill="1" applyBorder="1" applyAlignment="1" applyProtection="1">
      <alignment horizontal="center" vertical="center" wrapText="1"/>
      <protection hidden="1"/>
    </xf>
    <xf numFmtId="0" fontId="30" fillId="41" borderId="17" xfId="0" applyFont="1" applyFill="1" applyBorder="1" applyAlignment="1" applyProtection="1">
      <alignment horizontal="center" vertical="center" wrapText="1"/>
      <protection hidden="1"/>
    </xf>
    <xf numFmtId="0" fontId="30" fillId="41" borderId="18" xfId="0" applyFont="1" applyFill="1" applyBorder="1" applyAlignment="1" applyProtection="1">
      <alignment horizontal="center" vertical="center" wrapText="1"/>
      <protection hidden="1"/>
    </xf>
    <xf numFmtId="0" fontId="30" fillId="41" borderId="19" xfId="0" applyFont="1" applyFill="1" applyBorder="1" applyAlignment="1" applyProtection="1">
      <alignment horizontal="center" vertical="center" wrapText="1"/>
      <protection hidden="1"/>
    </xf>
    <xf numFmtId="0" fontId="30" fillId="40" borderId="14" xfId="0" applyFont="1" applyFill="1" applyBorder="1" applyAlignment="1" applyProtection="1">
      <alignment horizontal="center" vertical="center" wrapText="1"/>
      <protection hidden="1"/>
    </xf>
    <xf numFmtId="0" fontId="30" fillId="40" borderId="15" xfId="0" applyFont="1" applyFill="1" applyBorder="1" applyAlignment="1" applyProtection="1">
      <alignment horizontal="center" vertical="center" wrapText="1"/>
      <protection hidden="1"/>
    </xf>
    <xf numFmtId="0" fontId="30" fillId="40" borderId="16" xfId="0" applyFont="1" applyFill="1" applyBorder="1" applyAlignment="1" applyProtection="1">
      <alignment horizontal="center" vertical="center" wrapText="1"/>
      <protection hidden="1"/>
    </xf>
    <xf numFmtId="0" fontId="30" fillId="40" borderId="17" xfId="0" applyFont="1" applyFill="1" applyBorder="1" applyAlignment="1" applyProtection="1">
      <alignment horizontal="center" vertical="center" wrapText="1"/>
      <protection hidden="1"/>
    </xf>
    <xf numFmtId="0" fontId="30" fillId="40" borderId="18" xfId="0" applyFont="1" applyFill="1" applyBorder="1" applyAlignment="1" applyProtection="1">
      <alignment horizontal="center" vertical="center" wrapText="1"/>
      <protection hidden="1"/>
    </xf>
    <xf numFmtId="0" fontId="30" fillId="40" borderId="19" xfId="0" applyFont="1" applyFill="1" applyBorder="1" applyAlignment="1" applyProtection="1">
      <alignment horizontal="center" vertical="center" wrapText="1"/>
      <protection hidden="1"/>
    </xf>
    <xf numFmtId="0" fontId="27" fillId="2" borderId="10" xfId="0" applyFont="1" applyFill="1" applyBorder="1" applyAlignment="1" applyProtection="1">
      <alignment horizontal="right" vertical="center"/>
      <protection hidden="1"/>
    </xf>
    <xf numFmtId="0" fontId="24" fillId="2" borderId="10" xfId="0" quotePrefix="1" applyFont="1" applyFill="1" applyBorder="1" applyAlignment="1" applyProtection="1">
      <alignment horizontal="center" vertical="center" textRotation="90" wrapText="1"/>
      <protection hidden="1"/>
    </xf>
    <xf numFmtId="0" fontId="22" fillId="33" borderId="10" xfId="0" applyFont="1" applyFill="1" applyBorder="1" applyAlignment="1" applyProtection="1">
      <alignment horizontal="center" vertical="center" wrapText="1"/>
      <protection hidden="1"/>
    </xf>
    <xf numFmtId="0" fontId="22" fillId="33" borderId="11" xfId="0" applyFont="1" applyFill="1" applyBorder="1" applyAlignment="1" applyProtection="1">
      <alignment horizontal="center" vertical="center" wrapText="1"/>
      <protection hidden="1"/>
    </xf>
    <xf numFmtId="0" fontId="24" fillId="3" borderId="11" xfId="0" applyFont="1" applyFill="1" applyBorder="1" applyAlignment="1" applyProtection="1">
      <alignment horizontal="center" vertical="center"/>
      <protection hidden="1"/>
    </xf>
    <xf numFmtId="0" fontId="24" fillId="3" borderId="12" xfId="0" applyFont="1" applyFill="1" applyBorder="1" applyAlignment="1" applyProtection="1">
      <alignment horizontal="center" vertical="center"/>
      <protection hidden="1"/>
    </xf>
    <xf numFmtId="0" fontId="24" fillId="3" borderId="13" xfId="0" applyFont="1" applyFill="1" applyBorder="1" applyAlignment="1" applyProtection="1">
      <alignment horizontal="center" vertical="center"/>
      <protection hidden="1"/>
    </xf>
    <xf numFmtId="0" fontId="24" fillId="4" borderId="11" xfId="0" applyFont="1" applyFill="1" applyBorder="1" applyAlignment="1" applyProtection="1">
      <alignment horizontal="center" vertical="center"/>
      <protection hidden="1"/>
    </xf>
    <xf numFmtId="0" fontId="24" fillId="4" borderId="12" xfId="0" applyFont="1" applyFill="1" applyBorder="1" applyAlignment="1" applyProtection="1">
      <alignment horizontal="center" vertical="center"/>
      <protection hidden="1"/>
    </xf>
    <xf numFmtId="0" fontId="24" fillId="4" borderId="13" xfId="0" applyFont="1" applyFill="1" applyBorder="1" applyAlignment="1" applyProtection="1">
      <alignment horizontal="center" vertical="center"/>
      <protection hidden="1"/>
    </xf>
    <xf numFmtId="0" fontId="22" fillId="13" borderId="11" xfId="0" applyFont="1" applyFill="1" applyBorder="1" applyAlignment="1" applyProtection="1">
      <alignment horizontal="center" vertical="center" wrapText="1"/>
      <protection hidden="1"/>
    </xf>
    <xf numFmtId="0" fontId="22" fillId="13" borderId="12" xfId="0" applyFont="1" applyFill="1" applyBorder="1" applyAlignment="1" applyProtection="1">
      <alignment horizontal="center" vertical="center" wrapText="1"/>
      <protection hidden="1"/>
    </xf>
    <xf numFmtId="0" fontId="22" fillId="13" borderId="13" xfId="0" applyFont="1" applyFill="1" applyBorder="1" applyAlignment="1" applyProtection="1">
      <alignment horizontal="center" vertical="center" wrapText="1"/>
      <protection hidden="1"/>
    </xf>
    <xf numFmtId="0" fontId="22" fillId="5" borderId="11"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2" fillId="5" borderId="13" xfId="0" applyFont="1" applyFill="1" applyBorder="1" applyAlignment="1" applyProtection="1">
      <alignment horizontal="center" vertical="center" wrapText="1"/>
      <protection hidden="1"/>
    </xf>
    <xf numFmtId="0" fontId="45" fillId="10" borderId="17" xfId="0" applyFont="1" applyFill="1" applyBorder="1" applyAlignment="1" applyProtection="1">
      <alignment horizontal="center" vertical="center"/>
      <protection hidden="1"/>
    </xf>
    <xf numFmtId="0" fontId="45" fillId="10" borderId="18" xfId="0" applyFont="1" applyFill="1" applyBorder="1" applyAlignment="1" applyProtection="1">
      <alignment horizontal="center" vertical="center"/>
      <protection hidden="1"/>
    </xf>
    <xf numFmtId="0" fontId="45" fillId="10" borderId="19" xfId="0" applyFont="1" applyFill="1" applyBorder="1" applyAlignment="1" applyProtection="1">
      <alignment horizontal="center" vertical="center"/>
      <protection hidden="1"/>
    </xf>
    <xf numFmtId="0" fontId="45" fillId="10" borderId="14" xfId="0" applyFont="1" applyFill="1" applyBorder="1" applyAlignment="1" applyProtection="1">
      <alignment horizontal="center" vertical="center"/>
      <protection hidden="1"/>
    </xf>
    <xf numFmtId="0" fontId="45" fillId="10" borderId="15" xfId="0" applyFont="1" applyFill="1" applyBorder="1" applyAlignment="1" applyProtection="1">
      <alignment horizontal="center" vertical="center"/>
      <protection hidden="1"/>
    </xf>
    <xf numFmtId="0" fontId="45" fillId="10" borderId="16" xfId="0" applyFont="1" applyFill="1" applyBorder="1" applyAlignment="1" applyProtection="1">
      <alignment horizontal="center" vertical="center"/>
      <protection hidden="1"/>
    </xf>
    <xf numFmtId="0" fontId="22" fillId="8" borderId="23" xfId="0" applyFont="1" applyFill="1" applyBorder="1" applyAlignment="1" applyProtection="1">
      <alignment horizontal="center" vertical="center" wrapText="1"/>
      <protection hidden="1"/>
    </xf>
    <xf numFmtId="0" fontId="22" fillId="8" borderId="24" xfId="0" applyFont="1" applyFill="1" applyBorder="1" applyAlignment="1" applyProtection="1">
      <alignment horizontal="center" vertical="center" wrapText="1"/>
      <protection hidden="1"/>
    </xf>
    <xf numFmtId="0" fontId="22" fillId="8" borderId="22" xfId="0" applyFont="1" applyFill="1" applyBorder="1" applyAlignment="1" applyProtection="1">
      <alignment horizontal="center" vertical="center" wrapText="1"/>
      <protection hidden="1"/>
    </xf>
    <xf numFmtId="0" fontId="22" fillId="8" borderId="14" xfId="0" applyFont="1" applyFill="1" applyBorder="1" applyAlignment="1" applyProtection="1">
      <alignment horizontal="center" vertical="center"/>
      <protection hidden="1"/>
    </xf>
    <xf numFmtId="0" fontId="22" fillId="8" borderId="16" xfId="0" applyFont="1" applyFill="1" applyBorder="1" applyAlignment="1" applyProtection="1">
      <alignment horizontal="center" vertical="center"/>
      <protection hidden="1"/>
    </xf>
    <xf numFmtId="0" fontId="22" fillId="8" borderId="17" xfId="0" applyFont="1" applyFill="1" applyBorder="1" applyAlignment="1" applyProtection="1">
      <alignment horizontal="center" vertical="center"/>
      <protection hidden="1"/>
    </xf>
    <xf numFmtId="0" fontId="22" fillId="8" borderId="19" xfId="0" applyFont="1" applyFill="1" applyBorder="1" applyAlignment="1" applyProtection="1">
      <alignment horizontal="center" vertical="center"/>
      <protection hidden="1"/>
    </xf>
    <xf numFmtId="0" fontId="27" fillId="10" borderId="14" xfId="0" applyFont="1" applyFill="1" applyBorder="1" applyAlignment="1" applyProtection="1">
      <alignment horizontal="center" vertical="center"/>
      <protection hidden="1"/>
    </xf>
    <xf numFmtId="0" fontId="27" fillId="10" borderId="15" xfId="0" applyFont="1" applyFill="1" applyBorder="1" applyAlignment="1" applyProtection="1">
      <alignment horizontal="center" vertical="center"/>
      <protection hidden="1"/>
    </xf>
    <xf numFmtId="0" fontId="27" fillId="10" borderId="16" xfId="0" applyFont="1" applyFill="1" applyBorder="1" applyAlignment="1" applyProtection="1">
      <alignment horizontal="center" vertical="center"/>
      <protection hidden="1"/>
    </xf>
    <xf numFmtId="0" fontId="27" fillId="10" borderId="20" xfId="0" applyFont="1" applyFill="1" applyBorder="1" applyAlignment="1" applyProtection="1">
      <alignment horizontal="center" vertical="center"/>
      <protection hidden="1"/>
    </xf>
    <xf numFmtId="0" fontId="27" fillId="10" borderId="0" xfId="0" applyFont="1" applyFill="1" applyAlignment="1" applyProtection="1">
      <alignment horizontal="center" vertical="center"/>
      <protection hidden="1"/>
    </xf>
    <xf numFmtId="0" fontId="27" fillId="10" borderId="21" xfId="0" applyFont="1" applyFill="1" applyBorder="1" applyAlignment="1" applyProtection="1">
      <alignment horizontal="center" vertical="center"/>
      <protection hidden="1"/>
    </xf>
    <xf numFmtId="0" fontId="27" fillId="10" borderId="17" xfId="0" applyFont="1" applyFill="1" applyBorder="1" applyAlignment="1" applyProtection="1">
      <alignment horizontal="center" vertical="center"/>
      <protection hidden="1"/>
    </xf>
    <xf numFmtId="0" fontId="27" fillId="10" borderId="18" xfId="0" applyFont="1" applyFill="1" applyBorder="1" applyAlignment="1" applyProtection="1">
      <alignment horizontal="center" vertical="center"/>
      <protection hidden="1"/>
    </xf>
    <xf numFmtId="0" fontId="27" fillId="10" borderId="19" xfId="0" applyFont="1" applyFill="1" applyBorder="1" applyAlignment="1" applyProtection="1">
      <alignment horizontal="center" vertical="center"/>
      <protection hidden="1"/>
    </xf>
    <xf numFmtId="0" fontId="30" fillId="24" borderId="14" xfId="0" applyFont="1" applyFill="1" applyBorder="1" applyAlignment="1" applyProtection="1">
      <alignment horizontal="center" vertical="center" wrapText="1"/>
      <protection hidden="1"/>
    </xf>
    <xf numFmtId="0" fontId="30" fillId="24" borderId="15" xfId="0" applyFont="1" applyFill="1" applyBorder="1" applyAlignment="1" applyProtection="1">
      <alignment horizontal="center" vertical="center" wrapText="1"/>
      <protection hidden="1"/>
    </xf>
    <xf numFmtId="0" fontId="30" fillId="24" borderId="16" xfId="0" applyFont="1" applyFill="1" applyBorder="1" applyAlignment="1" applyProtection="1">
      <alignment horizontal="center" vertical="center" wrapText="1"/>
      <protection hidden="1"/>
    </xf>
    <xf numFmtId="0" fontId="30" fillId="24" borderId="17" xfId="0" applyFont="1" applyFill="1" applyBorder="1" applyAlignment="1" applyProtection="1">
      <alignment horizontal="center" vertical="center" wrapText="1"/>
      <protection hidden="1"/>
    </xf>
    <xf numFmtId="0" fontId="30" fillId="24" borderId="18" xfId="0" applyFont="1" applyFill="1" applyBorder="1" applyAlignment="1" applyProtection="1">
      <alignment horizontal="center" vertical="center" wrapText="1"/>
      <protection hidden="1"/>
    </xf>
    <xf numFmtId="0" fontId="30" fillId="24" borderId="19" xfId="0" applyFont="1" applyFill="1" applyBorder="1" applyAlignment="1" applyProtection="1">
      <alignment horizontal="center" vertical="center" wrapText="1"/>
      <protection hidden="1"/>
    </xf>
    <xf numFmtId="0" fontId="45" fillId="11" borderId="14" xfId="0" applyFont="1" applyFill="1" applyBorder="1" applyAlignment="1" applyProtection="1">
      <alignment horizontal="center" vertical="center"/>
      <protection hidden="1"/>
    </xf>
    <xf numFmtId="0" fontId="45" fillId="11" borderId="15" xfId="0" applyFont="1" applyFill="1" applyBorder="1" applyAlignment="1" applyProtection="1">
      <alignment horizontal="center" vertical="center"/>
      <protection hidden="1"/>
    </xf>
    <xf numFmtId="0" fontId="45" fillId="11" borderId="16" xfId="0" applyFont="1" applyFill="1" applyBorder="1" applyAlignment="1" applyProtection="1">
      <alignment horizontal="center" vertical="center"/>
      <protection hidden="1"/>
    </xf>
    <xf numFmtId="0" fontId="45" fillId="11" borderId="17" xfId="0" applyFont="1" applyFill="1" applyBorder="1" applyAlignment="1" applyProtection="1">
      <alignment horizontal="center" vertical="center"/>
      <protection hidden="1"/>
    </xf>
    <xf numFmtId="0" fontId="45" fillId="11" borderId="18" xfId="0" applyFont="1" applyFill="1" applyBorder="1" applyAlignment="1" applyProtection="1">
      <alignment horizontal="center" vertical="center"/>
      <protection hidden="1"/>
    </xf>
    <xf numFmtId="0" fontId="45" fillId="11" borderId="19" xfId="0" applyFont="1" applyFill="1" applyBorder="1" applyAlignment="1" applyProtection="1">
      <alignment horizontal="center" vertical="center"/>
      <protection hidden="1"/>
    </xf>
    <xf numFmtId="0" fontId="30" fillId="25" borderId="14" xfId="0" applyFont="1" applyFill="1" applyBorder="1" applyAlignment="1" applyProtection="1">
      <alignment horizontal="center" vertical="center" wrapText="1"/>
      <protection hidden="1"/>
    </xf>
    <xf numFmtId="0" fontId="30" fillId="25" borderId="15" xfId="0" applyFont="1" applyFill="1" applyBorder="1" applyAlignment="1" applyProtection="1">
      <alignment horizontal="center" vertical="center" wrapText="1"/>
      <protection hidden="1"/>
    </xf>
    <xf numFmtId="0" fontId="30" fillId="25" borderId="16" xfId="0" applyFont="1" applyFill="1" applyBorder="1" applyAlignment="1" applyProtection="1">
      <alignment horizontal="center" vertical="center" wrapText="1"/>
      <protection hidden="1"/>
    </xf>
    <xf numFmtId="0" fontId="30" fillId="25" borderId="17" xfId="0" applyFont="1" applyFill="1" applyBorder="1" applyAlignment="1" applyProtection="1">
      <alignment horizontal="center" vertical="center" wrapText="1"/>
      <protection hidden="1"/>
    </xf>
    <xf numFmtId="0" fontId="30" fillId="25" borderId="18" xfId="0" applyFont="1" applyFill="1" applyBorder="1" applyAlignment="1" applyProtection="1">
      <alignment horizontal="center" vertical="center" wrapText="1"/>
      <protection hidden="1"/>
    </xf>
    <xf numFmtId="0" fontId="30" fillId="25" borderId="19" xfId="0" applyFont="1" applyFill="1" applyBorder="1" applyAlignment="1" applyProtection="1">
      <alignment horizontal="center" vertical="center" wrapText="1"/>
      <protection hidden="1"/>
    </xf>
    <xf numFmtId="0" fontId="45" fillId="32" borderId="14" xfId="0" applyFont="1" applyFill="1" applyBorder="1" applyAlignment="1" applyProtection="1">
      <alignment horizontal="center" vertical="center"/>
      <protection hidden="1"/>
    </xf>
    <xf numFmtId="0" fontId="45" fillId="32" borderId="15" xfId="0" applyFont="1" applyFill="1" applyBorder="1" applyAlignment="1" applyProtection="1">
      <alignment horizontal="center" vertical="center"/>
      <protection hidden="1"/>
    </xf>
    <xf numFmtId="0" fontId="45" fillId="32" borderId="16" xfId="0" applyFont="1" applyFill="1" applyBorder="1" applyAlignment="1" applyProtection="1">
      <alignment horizontal="center" vertical="center"/>
      <protection hidden="1"/>
    </xf>
    <xf numFmtId="0" fontId="45" fillId="32" borderId="17" xfId="0" applyFont="1" applyFill="1" applyBorder="1" applyAlignment="1" applyProtection="1">
      <alignment horizontal="center" vertical="center"/>
      <protection hidden="1"/>
    </xf>
    <xf numFmtId="0" fontId="45" fillId="32" borderId="18" xfId="0" applyFont="1" applyFill="1" applyBorder="1" applyAlignment="1" applyProtection="1">
      <alignment horizontal="center" vertical="center"/>
      <protection hidden="1"/>
    </xf>
    <xf numFmtId="0" fontId="45" fillId="32" borderId="19" xfId="0" applyFont="1" applyFill="1" applyBorder="1" applyAlignment="1" applyProtection="1">
      <alignment horizontal="center" vertical="center"/>
      <protection hidden="1"/>
    </xf>
    <xf numFmtId="0" fontId="27" fillId="2" borderId="10" xfId="0" applyFont="1" applyFill="1" applyBorder="1" applyAlignment="1">
      <alignment horizontal="right" vertical="center"/>
    </xf>
    <xf numFmtId="0" fontId="32" fillId="23" borderId="14" xfId="0" applyFont="1" applyFill="1" applyBorder="1" applyAlignment="1">
      <alignment horizontal="center" vertical="center" wrapText="1"/>
    </xf>
    <xf numFmtId="0" fontId="32" fillId="23" borderId="15" xfId="0" applyFont="1" applyFill="1" applyBorder="1" applyAlignment="1">
      <alignment horizontal="center" vertical="center" wrapText="1"/>
    </xf>
    <xf numFmtId="0" fontId="32" fillId="23" borderId="16" xfId="0"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19" xfId="0" applyFont="1" applyFill="1" applyBorder="1" applyAlignment="1">
      <alignment horizontal="center" vertical="center" wrapText="1"/>
    </xf>
    <xf numFmtId="0" fontId="22" fillId="18" borderId="11" xfId="0" applyFont="1" applyFill="1" applyBorder="1" applyAlignment="1">
      <alignment horizontal="center" vertical="center"/>
    </xf>
    <xf numFmtId="0" fontId="22" fillId="18" borderId="13" xfId="0" applyFont="1" applyFill="1" applyBorder="1" applyAlignment="1">
      <alignment horizontal="center" vertical="center"/>
    </xf>
    <xf numFmtId="0" fontId="22" fillId="18" borderId="12" xfId="0" applyFont="1" applyFill="1" applyBorder="1" applyAlignment="1">
      <alignment horizontal="center" vertical="center"/>
    </xf>
    <xf numFmtId="0" fontId="22" fillId="8" borderId="14" xfId="0" applyFont="1" applyFill="1" applyBorder="1" applyAlignment="1">
      <alignment horizontal="center" vertical="center"/>
    </xf>
    <xf numFmtId="0" fontId="22" fillId="8" borderId="16" xfId="0" applyFont="1" applyFill="1" applyBorder="1" applyAlignment="1">
      <alignment horizontal="center" vertical="center"/>
    </xf>
    <xf numFmtId="0" fontId="22" fillId="8" borderId="17" xfId="0" applyFont="1" applyFill="1" applyBorder="1" applyAlignment="1">
      <alignment horizontal="center" vertical="center"/>
    </xf>
    <xf numFmtId="0" fontId="22" fillId="8" borderId="19" xfId="0" applyFont="1" applyFill="1" applyBorder="1" applyAlignment="1">
      <alignment horizontal="center" vertical="center"/>
    </xf>
    <xf numFmtId="0" fontId="27" fillId="10" borderId="14" xfId="0"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16" xfId="0" applyFont="1" applyFill="1" applyBorder="1" applyAlignment="1">
      <alignment horizontal="center" vertical="center"/>
    </xf>
    <xf numFmtId="0" fontId="27" fillId="10" borderId="20" xfId="0" applyFont="1" applyFill="1" applyBorder="1" applyAlignment="1">
      <alignment horizontal="center" vertical="center"/>
    </xf>
    <xf numFmtId="0" fontId="27" fillId="10" borderId="0" xfId="0" applyFont="1" applyFill="1" applyAlignment="1">
      <alignment horizontal="center" vertical="center"/>
    </xf>
    <xf numFmtId="0" fontId="27" fillId="10" borderId="21" xfId="0" applyFont="1" applyFill="1" applyBorder="1" applyAlignment="1">
      <alignment horizontal="center" vertical="center"/>
    </xf>
    <xf numFmtId="0" fontId="27" fillId="10" borderId="17" xfId="0" applyFont="1" applyFill="1" applyBorder="1" applyAlignment="1">
      <alignment horizontal="center" vertical="center"/>
    </xf>
    <xf numFmtId="0" fontId="27" fillId="10" borderId="18" xfId="0" applyFont="1" applyFill="1" applyBorder="1" applyAlignment="1">
      <alignment horizontal="center" vertical="center"/>
    </xf>
    <xf numFmtId="0" fontId="27" fillId="10" borderId="19" xfId="0" applyFont="1" applyFill="1" applyBorder="1" applyAlignment="1">
      <alignment horizontal="center" vertical="center"/>
    </xf>
    <xf numFmtId="0" fontId="24" fillId="0" borderId="11" xfId="0" applyFont="1" applyBorder="1" applyAlignment="1">
      <alignment horizontal="center" vertical="center" wrapText="1"/>
    </xf>
    <xf numFmtId="0" fontId="24" fillId="0" borderId="13" xfId="0" applyFont="1" applyBorder="1" applyAlignment="1">
      <alignment horizontal="center" vertical="center" wrapText="1"/>
    </xf>
    <xf numFmtId="0" fontId="31" fillId="12" borderId="14" xfId="0" applyFont="1" applyFill="1" applyBorder="1" applyAlignment="1">
      <alignment horizontal="center" vertical="center"/>
    </xf>
    <xf numFmtId="0" fontId="31" fillId="12" borderId="15" xfId="0" applyFont="1" applyFill="1" applyBorder="1" applyAlignment="1">
      <alignment horizontal="center" vertical="center"/>
    </xf>
    <xf numFmtId="0" fontId="31" fillId="12" borderId="16" xfId="0" applyFont="1" applyFill="1" applyBorder="1" applyAlignment="1">
      <alignment horizontal="center" vertical="center"/>
    </xf>
    <xf numFmtId="0" fontId="31" fillId="12" borderId="17" xfId="0" applyFont="1" applyFill="1" applyBorder="1" applyAlignment="1">
      <alignment horizontal="center" vertical="center"/>
    </xf>
    <xf numFmtId="0" fontId="31" fillId="12" borderId="18" xfId="0" applyFont="1" applyFill="1" applyBorder="1" applyAlignment="1">
      <alignment horizontal="center" vertical="center"/>
    </xf>
    <xf numFmtId="0" fontId="31" fillId="12" borderId="19" xfId="0" applyFont="1" applyFill="1" applyBorder="1" applyAlignment="1">
      <alignment horizontal="center" vertical="center"/>
    </xf>
    <xf numFmtId="0" fontId="22" fillId="27" borderId="11" xfId="0" applyFont="1" applyFill="1" applyBorder="1" applyAlignment="1">
      <alignment horizontal="right" vertical="center"/>
    </xf>
    <xf numFmtId="0" fontId="22" fillId="27" borderId="13" xfId="0" applyFont="1" applyFill="1" applyBorder="1" applyAlignment="1">
      <alignment horizontal="right" vertical="center"/>
    </xf>
    <xf numFmtId="0" fontId="24" fillId="45" borderId="11" xfId="0" applyFont="1" applyFill="1" applyBorder="1" applyAlignment="1">
      <alignment horizontal="center" vertical="center"/>
    </xf>
    <xf numFmtId="0" fontId="24" fillId="45" borderId="13" xfId="0" applyFont="1" applyFill="1" applyBorder="1" applyAlignment="1">
      <alignment horizontal="center" vertical="center"/>
    </xf>
    <xf numFmtId="0" fontId="22" fillId="8" borderId="23" xfId="0" applyFont="1" applyFill="1" applyBorder="1" applyAlignment="1">
      <alignment horizontal="center" vertical="center" wrapText="1"/>
    </xf>
    <xf numFmtId="0" fontId="22" fillId="8" borderId="24" xfId="0" applyFont="1" applyFill="1" applyBorder="1" applyAlignment="1">
      <alignment horizontal="center" vertical="center" wrapText="1"/>
    </xf>
    <xf numFmtId="0" fontId="22" fillId="8" borderId="22" xfId="0" applyFont="1" applyFill="1" applyBorder="1" applyAlignment="1">
      <alignment horizontal="center" vertical="center" wrapText="1"/>
    </xf>
    <xf numFmtId="0" fontId="24" fillId="2" borderId="11" xfId="0" applyFont="1" applyFill="1" applyBorder="1" applyAlignment="1">
      <alignment horizontal="center" vertical="center"/>
    </xf>
    <xf numFmtId="0" fontId="24" fillId="2" borderId="13"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12" xfId="0" applyFont="1" applyFill="1" applyBorder="1" applyAlignment="1">
      <alignment horizontal="center" vertical="center"/>
    </xf>
    <xf numFmtId="0" fontId="24" fillId="3" borderId="13" xfId="0" applyFont="1" applyFill="1" applyBorder="1" applyAlignment="1">
      <alignment horizontal="center" vertical="center"/>
    </xf>
    <xf numFmtId="0" fontId="24" fillId="4" borderId="11"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13" xfId="0" applyFont="1" applyFill="1" applyBorder="1" applyAlignment="1">
      <alignment horizontal="center" vertical="center"/>
    </xf>
    <xf numFmtId="0" fontId="22" fillId="13" borderId="11" xfId="0" applyFont="1" applyFill="1" applyBorder="1" applyAlignment="1">
      <alignment horizontal="center" vertical="center" wrapText="1"/>
    </xf>
    <xf numFmtId="0" fontId="22" fillId="13" borderId="12" xfId="0" applyFont="1" applyFill="1" applyBorder="1" applyAlignment="1">
      <alignment horizontal="center" vertical="center" wrapText="1"/>
    </xf>
    <xf numFmtId="0" fontId="22" fillId="13" borderId="13"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5" fillId="26" borderId="11" xfId="0" applyFont="1" applyFill="1" applyBorder="1" applyAlignment="1">
      <alignment horizontal="center" vertical="center"/>
    </xf>
    <xf numFmtId="0" fontId="25" fillId="26" borderId="13" xfId="0" applyFont="1" applyFill="1" applyBorder="1" applyAlignment="1">
      <alignment horizontal="center" vertical="center"/>
    </xf>
    <xf numFmtId="0" fontId="24" fillId="2" borderId="10" xfId="0" quotePrefix="1" applyFont="1" applyFill="1" applyBorder="1" applyAlignment="1">
      <alignment horizontal="center" vertical="center" textRotation="90" wrapText="1"/>
    </xf>
    <xf numFmtId="0" fontId="27" fillId="0" borderId="11" xfId="0" applyFont="1" applyBorder="1" applyAlignment="1" applyProtection="1">
      <alignment horizontal="center" vertical="center" wrapText="1"/>
      <protection hidden="1"/>
    </xf>
    <xf numFmtId="0" fontId="27" fillId="0" borderId="13" xfId="0" applyFont="1" applyBorder="1" applyAlignment="1" applyProtection="1">
      <alignment horizontal="center" vertical="center" wrapText="1"/>
      <protection hidden="1"/>
    </xf>
    <xf numFmtId="0" fontId="22" fillId="0" borderId="11" xfId="0" applyFont="1" applyBorder="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24" fillId="0" borderId="15" xfId="0" applyFont="1" applyBorder="1" applyAlignment="1" applyProtection="1">
      <alignment horizontal="left" vertical="center"/>
      <protection hidden="1"/>
    </xf>
    <xf numFmtId="0" fontId="24" fillId="0" borderId="16" xfId="0" applyFont="1" applyBorder="1" applyAlignment="1" applyProtection="1">
      <alignment horizontal="left" vertical="center"/>
      <protection hidden="1"/>
    </xf>
    <xf numFmtId="0" fontId="24" fillId="0" borderId="0" xfId="0" applyFont="1" applyAlignment="1" applyProtection="1">
      <alignment horizontal="left" vertical="center"/>
      <protection hidden="1"/>
    </xf>
    <xf numFmtId="0" fontId="24" fillId="0" borderId="21" xfId="0" applyFont="1" applyBorder="1" applyAlignment="1" applyProtection="1">
      <alignment horizontal="left" vertical="center"/>
      <protection hidden="1"/>
    </xf>
    <xf numFmtId="0" fontId="27" fillId="15" borderId="20" xfId="0" applyFont="1" applyFill="1" applyBorder="1" applyAlignment="1" applyProtection="1">
      <alignment horizontal="left" vertical="center" wrapText="1"/>
      <protection hidden="1"/>
    </xf>
    <xf numFmtId="0" fontId="27" fillId="15" borderId="0" xfId="0" applyFont="1" applyFill="1" applyAlignment="1" applyProtection="1">
      <alignment horizontal="left" vertical="center" wrapText="1"/>
      <protection hidden="1"/>
    </xf>
    <xf numFmtId="0" fontId="27" fillId="15" borderId="17" xfId="0" applyFont="1" applyFill="1" applyBorder="1" applyAlignment="1" applyProtection="1">
      <alignment horizontal="left" vertical="center" wrapText="1"/>
      <protection hidden="1"/>
    </xf>
    <xf numFmtId="0" fontId="27" fillId="15" borderId="18" xfId="0" applyFont="1" applyFill="1" applyBorder="1" applyAlignment="1" applyProtection="1">
      <alignment horizontal="left" vertical="center" wrapText="1"/>
      <protection hidden="1"/>
    </xf>
    <xf numFmtId="0" fontId="22" fillId="31" borderId="11" xfId="0" applyFont="1" applyFill="1" applyBorder="1" applyAlignment="1" applyProtection="1">
      <alignment horizontal="center" vertical="center" wrapText="1"/>
      <protection hidden="1"/>
    </xf>
    <xf numFmtId="0" fontId="22" fillId="31" borderId="13" xfId="0" applyFont="1" applyFill="1" applyBorder="1" applyAlignment="1" applyProtection="1">
      <alignment horizontal="center" vertical="center" wrapText="1"/>
      <protection hidden="1"/>
    </xf>
    <xf numFmtId="0" fontId="31" fillId="15" borderId="14" xfId="0" applyFont="1" applyFill="1" applyBorder="1" applyAlignment="1" applyProtection="1">
      <alignment horizontal="center" vertical="center"/>
      <protection hidden="1"/>
    </xf>
    <xf numFmtId="0" fontId="31" fillId="15" borderId="15" xfId="0" applyFont="1" applyFill="1" applyBorder="1" applyAlignment="1" applyProtection="1">
      <alignment horizontal="center" vertical="center"/>
      <protection hidden="1"/>
    </xf>
    <xf numFmtId="0" fontId="31" fillId="15" borderId="16" xfId="0" applyFont="1" applyFill="1" applyBorder="1" applyAlignment="1" applyProtection="1">
      <alignment horizontal="center" vertical="center"/>
      <protection hidden="1"/>
    </xf>
    <xf numFmtId="0" fontId="31" fillId="15" borderId="20" xfId="0" applyFont="1" applyFill="1" applyBorder="1" applyAlignment="1" applyProtection="1">
      <alignment horizontal="center" vertical="center"/>
      <protection hidden="1"/>
    </xf>
    <xf numFmtId="0" fontId="31" fillId="15" borderId="0" xfId="0" applyFont="1" applyFill="1" applyAlignment="1" applyProtection="1">
      <alignment horizontal="center" vertical="center"/>
      <protection hidden="1"/>
    </xf>
    <xf numFmtId="0" fontId="31" fillId="15" borderId="21" xfId="0" applyFont="1" applyFill="1" applyBorder="1" applyAlignment="1" applyProtection="1">
      <alignment horizontal="center" vertical="center"/>
      <protection hidden="1"/>
    </xf>
    <xf numFmtId="0" fontId="33" fillId="24" borderId="14" xfId="0" applyFont="1" applyFill="1" applyBorder="1" applyAlignment="1" applyProtection="1">
      <alignment horizontal="center" vertical="center" wrapText="1"/>
      <protection hidden="1"/>
    </xf>
    <xf numFmtId="0" fontId="33" fillId="24" borderId="16" xfId="0" applyFont="1" applyFill="1" applyBorder="1" applyAlignment="1" applyProtection="1">
      <alignment horizontal="center" vertical="center" wrapText="1"/>
      <protection hidden="1"/>
    </xf>
    <xf numFmtId="0" fontId="33" fillId="24" borderId="20" xfId="0" applyFont="1" applyFill="1" applyBorder="1" applyAlignment="1" applyProtection="1">
      <alignment horizontal="center" vertical="center" wrapText="1"/>
      <protection hidden="1"/>
    </xf>
    <xf numFmtId="0" fontId="33" fillId="24" borderId="21" xfId="0" applyFont="1" applyFill="1" applyBorder="1" applyAlignment="1" applyProtection="1">
      <alignment horizontal="center" vertical="center" wrapText="1"/>
      <protection hidden="1"/>
    </xf>
    <xf numFmtId="0" fontId="30" fillId="42" borderId="14" xfId="0" applyFont="1" applyFill="1" applyBorder="1" applyAlignment="1" applyProtection="1">
      <alignment horizontal="center" vertical="center" wrapText="1"/>
      <protection hidden="1"/>
    </xf>
    <xf numFmtId="0" fontId="30" fillId="42" borderId="15" xfId="0" applyFont="1" applyFill="1" applyBorder="1" applyAlignment="1" applyProtection="1">
      <alignment horizontal="center" vertical="center" wrapText="1"/>
      <protection hidden="1"/>
    </xf>
    <xf numFmtId="0" fontId="30" fillId="42" borderId="16" xfId="0" applyFont="1" applyFill="1" applyBorder="1" applyAlignment="1" applyProtection="1">
      <alignment horizontal="center" vertical="center" wrapText="1"/>
      <protection hidden="1"/>
    </xf>
    <xf numFmtId="0" fontId="30" fillId="42" borderId="20" xfId="0" applyFont="1" applyFill="1" applyBorder="1" applyAlignment="1" applyProtection="1">
      <alignment horizontal="center" vertical="center" wrapText="1"/>
      <protection hidden="1"/>
    </xf>
    <xf numFmtId="0" fontId="30" fillId="42" borderId="0" xfId="0" applyFont="1" applyFill="1" applyAlignment="1" applyProtection="1">
      <alignment horizontal="center" vertical="center" wrapText="1"/>
      <protection hidden="1"/>
    </xf>
    <xf numFmtId="0" fontId="30" fillId="42" borderId="21" xfId="0" applyFont="1" applyFill="1" applyBorder="1" applyAlignment="1" applyProtection="1">
      <alignment horizontal="center" vertical="center" wrapText="1"/>
      <protection hidden="1"/>
    </xf>
    <xf numFmtId="0" fontId="27" fillId="11" borderId="20" xfId="0" applyFont="1" applyFill="1" applyBorder="1" applyAlignment="1" applyProtection="1">
      <alignment horizontal="left" vertical="center" wrapText="1"/>
      <protection hidden="1"/>
    </xf>
    <xf numFmtId="0" fontId="27" fillId="11" borderId="0" xfId="0" applyFont="1" applyFill="1" applyAlignment="1" applyProtection="1">
      <alignment horizontal="left" vertical="center" wrapText="1"/>
      <protection hidden="1"/>
    </xf>
    <xf numFmtId="0" fontId="27" fillId="11" borderId="17" xfId="0" applyFont="1" applyFill="1" applyBorder="1" applyAlignment="1" applyProtection="1">
      <alignment horizontal="left" vertical="center" wrapText="1"/>
      <protection hidden="1"/>
    </xf>
    <xf numFmtId="0" fontId="27" fillId="11" borderId="18" xfId="0" applyFont="1" applyFill="1" applyBorder="1" applyAlignment="1" applyProtection="1">
      <alignment horizontal="left" vertical="center" wrapText="1"/>
      <protection hidden="1"/>
    </xf>
    <xf numFmtId="0" fontId="27" fillId="0" borderId="12" xfId="0" applyFont="1" applyBorder="1" applyAlignment="1" applyProtection="1">
      <alignment horizontal="center" vertical="center" wrapText="1"/>
      <protection hidden="1"/>
    </xf>
    <xf numFmtId="0" fontId="27" fillId="17" borderId="14" xfId="0" applyFont="1" applyFill="1" applyBorder="1" applyAlignment="1" applyProtection="1">
      <alignment horizontal="left" vertical="center" wrapText="1"/>
      <protection hidden="1"/>
    </xf>
    <xf numFmtId="0" fontId="27" fillId="17" borderId="15" xfId="0" applyFont="1" applyFill="1" applyBorder="1" applyAlignment="1" applyProtection="1">
      <alignment horizontal="left" vertical="center" wrapText="1"/>
      <protection hidden="1"/>
    </xf>
    <xf numFmtId="0" fontId="27" fillId="17" borderId="17" xfId="0" applyFont="1" applyFill="1" applyBorder="1" applyAlignment="1" applyProtection="1">
      <alignment horizontal="left" vertical="center" wrapText="1"/>
      <protection hidden="1"/>
    </xf>
    <xf numFmtId="0" fontId="27" fillId="17" borderId="18" xfId="0" applyFont="1" applyFill="1" applyBorder="1" applyAlignment="1" applyProtection="1">
      <alignment horizontal="left" vertical="center" wrapText="1"/>
      <protection hidden="1"/>
    </xf>
    <xf numFmtId="0" fontId="22" fillId="18" borderId="11" xfId="0" applyFont="1" applyFill="1" applyBorder="1" applyAlignment="1" applyProtection="1">
      <alignment horizontal="right" vertical="center"/>
      <protection hidden="1"/>
    </xf>
    <xf numFmtId="0" fontId="22" fillId="18" borderId="13" xfId="0" applyFont="1" applyFill="1" applyBorder="1" applyAlignment="1" applyProtection="1">
      <alignment horizontal="right" vertical="center"/>
      <protection hidden="1"/>
    </xf>
    <xf numFmtId="0" fontId="29" fillId="0" borderId="11" xfId="0" applyFont="1" applyBorder="1" applyAlignment="1" applyProtection="1">
      <alignment horizontal="center" vertical="center" wrapText="1"/>
      <protection hidden="1"/>
    </xf>
    <xf numFmtId="0" fontId="29" fillId="0" borderId="12" xfId="0" applyFont="1" applyBorder="1" applyAlignment="1" applyProtection="1">
      <alignment horizontal="center" vertical="center" wrapText="1"/>
      <protection hidden="1"/>
    </xf>
    <xf numFmtId="0" fontId="29" fillId="0" borderId="13" xfId="0" applyFont="1" applyBorder="1" applyAlignment="1" applyProtection="1">
      <alignment horizontal="center" vertical="center" wrapText="1"/>
      <protection hidden="1"/>
    </xf>
    <xf numFmtId="3" fontId="22" fillId="0" borderId="11" xfId="1" applyNumberFormat="1" applyFont="1" applyBorder="1" applyAlignment="1" applyProtection="1">
      <alignment horizontal="center" vertical="center"/>
      <protection hidden="1"/>
    </xf>
    <xf numFmtId="3" fontId="22" fillId="0" borderId="12" xfId="1" applyNumberFormat="1" applyFont="1" applyBorder="1" applyAlignment="1" applyProtection="1">
      <alignment horizontal="center" vertical="center"/>
      <protection hidden="1"/>
    </xf>
    <xf numFmtId="3" fontId="22" fillId="0" borderId="13" xfId="1" applyNumberFormat="1" applyFont="1" applyBorder="1" applyAlignment="1" applyProtection="1">
      <alignment horizontal="center" vertical="center"/>
      <protection hidden="1"/>
    </xf>
    <xf numFmtId="0" fontId="27" fillId="23" borderId="11" xfId="0" applyFont="1" applyFill="1" applyBorder="1" applyAlignment="1" applyProtection="1">
      <alignment horizontal="center" vertical="center" wrapText="1"/>
      <protection hidden="1"/>
    </xf>
    <xf numFmtId="0" fontId="27" fillId="23" borderId="12" xfId="0" applyFont="1" applyFill="1" applyBorder="1" applyAlignment="1" applyProtection="1">
      <alignment horizontal="center" vertical="center" wrapText="1"/>
      <protection hidden="1"/>
    </xf>
    <xf numFmtId="0" fontId="27" fillId="23" borderId="13" xfId="0" applyFont="1" applyFill="1" applyBorder="1" applyAlignment="1" applyProtection="1">
      <alignment horizontal="center" vertical="center" wrapText="1"/>
      <protection hidden="1"/>
    </xf>
    <xf numFmtId="0" fontId="33" fillId="31" borderId="14" xfId="0" applyFont="1" applyFill="1" applyBorder="1" applyAlignment="1" applyProtection="1">
      <alignment horizontal="center" vertical="center" wrapText="1"/>
      <protection hidden="1"/>
    </xf>
    <xf numFmtId="0" fontId="33" fillId="31" borderId="16" xfId="0" applyFont="1" applyFill="1" applyBorder="1" applyAlignment="1" applyProtection="1">
      <alignment horizontal="center" vertical="center" wrapText="1"/>
      <protection hidden="1"/>
    </xf>
    <xf numFmtId="0" fontId="33" fillId="31" borderId="17" xfId="0" applyFont="1" applyFill="1" applyBorder="1" applyAlignment="1" applyProtection="1">
      <alignment horizontal="center" vertical="center" wrapText="1"/>
      <protection hidden="1"/>
    </xf>
    <xf numFmtId="0" fontId="33" fillId="31" borderId="19" xfId="0" applyFont="1" applyFill="1" applyBorder="1" applyAlignment="1" applyProtection="1">
      <alignment horizontal="center" vertical="center" wrapText="1"/>
      <protection hidden="1"/>
    </xf>
    <xf numFmtId="0" fontId="30" fillId="18" borderId="14" xfId="0" applyFont="1" applyFill="1" applyBorder="1" applyAlignment="1" applyProtection="1">
      <alignment horizontal="center" vertical="center" wrapText="1"/>
      <protection hidden="1"/>
    </xf>
    <xf numFmtId="0" fontId="30" fillId="18" borderId="15" xfId="0" applyFont="1" applyFill="1" applyBorder="1" applyAlignment="1" applyProtection="1">
      <alignment horizontal="center" vertical="center" wrapText="1"/>
      <protection hidden="1"/>
    </xf>
    <xf numFmtId="0" fontId="30" fillId="18" borderId="16" xfId="0" applyFont="1" applyFill="1" applyBorder="1" applyAlignment="1" applyProtection="1">
      <alignment horizontal="center" vertical="center" wrapText="1"/>
      <protection hidden="1"/>
    </xf>
    <xf numFmtId="0" fontId="30" fillId="18" borderId="17" xfId="0" applyFont="1" applyFill="1" applyBorder="1" applyAlignment="1" applyProtection="1">
      <alignment horizontal="center" vertical="center" wrapText="1"/>
      <protection hidden="1"/>
    </xf>
    <xf numFmtId="0" fontId="30" fillId="18" borderId="18" xfId="0" applyFont="1" applyFill="1" applyBorder="1" applyAlignment="1" applyProtection="1">
      <alignment horizontal="center" vertical="center" wrapText="1"/>
      <protection hidden="1"/>
    </xf>
    <xf numFmtId="0" fontId="30" fillId="18" borderId="19" xfId="0" applyFont="1" applyFill="1" applyBorder="1" applyAlignment="1" applyProtection="1">
      <alignment horizontal="center" vertical="center" wrapText="1"/>
      <protection hidden="1"/>
    </xf>
    <xf numFmtId="0" fontId="22" fillId="18" borderId="15" xfId="0" applyFont="1" applyFill="1" applyBorder="1" applyAlignment="1" applyProtection="1">
      <alignment horizontal="center" vertical="center" wrapText="1"/>
      <protection hidden="1"/>
    </xf>
    <xf numFmtId="0" fontId="22" fillId="18" borderId="16" xfId="0" applyFont="1" applyFill="1" applyBorder="1" applyAlignment="1" applyProtection="1">
      <alignment horizontal="center" vertical="center" wrapText="1"/>
      <protection hidden="1"/>
    </xf>
    <xf numFmtId="0" fontId="45" fillId="6" borderId="14" xfId="0" applyFont="1" applyFill="1" applyBorder="1" applyAlignment="1" applyProtection="1">
      <alignment horizontal="center" vertical="center"/>
      <protection hidden="1"/>
    </xf>
    <xf numFmtId="0" fontId="45" fillId="6" borderId="15" xfId="0" applyFont="1" applyFill="1" applyBorder="1" applyAlignment="1" applyProtection="1">
      <alignment horizontal="center" vertical="center"/>
      <protection hidden="1"/>
    </xf>
    <xf numFmtId="0" fontId="45" fillId="6" borderId="16" xfId="0" applyFont="1" applyFill="1" applyBorder="1" applyAlignment="1" applyProtection="1">
      <alignment horizontal="center" vertical="center"/>
      <protection hidden="1"/>
    </xf>
    <xf numFmtId="0" fontId="45" fillId="6" borderId="17" xfId="0" applyFont="1" applyFill="1" applyBorder="1" applyAlignment="1" applyProtection="1">
      <alignment horizontal="center" vertical="center"/>
      <protection hidden="1"/>
    </xf>
    <xf numFmtId="0" fontId="45" fillId="6" borderId="18" xfId="0" applyFont="1" applyFill="1" applyBorder="1" applyAlignment="1" applyProtection="1">
      <alignment horizontal="center" vertical="center"/>
      <protection hidden="1"/>
    </xf>
    <xf numFmtId="0" fontId="45" fillId="6" borderId="19" xfId="0" applyFont="1" applyFill="1" applyBorder="1" applyAlignment="1" applyProtection="1">
      <alignment horizontal="center" vertical="center"/>
      <protection hidden="1"/>
    </xf>
    <xf numFmtId="0" fontId="37" fillId="0" borderId="14" xfId="0" applyFont="1" applyBorder="1" applyAlignment="1" applyProtection="1">
      <alignment horizontal="right" vertical="center"/>
      <protection hidden="1"/>
    </xf>
    <xf numFmtId="0" fontId="37" fillId="0" borderId="15" xfId="0" applyFont="1" applyBorder="1" applyAlignment="1" applyProtection="1">
      <alignment horizontal="right" vertical="center"/>
      <protection hidden="1"/>
    </xf>
    <xf numFmtId="0" fontId="37" fillId="0" borderId="16" xfId="0" applyFont="1" applyBorder="1" applyAlignment="1" applyProtection="1">
      <alignment horizontal="right" vertical="center"/>
      <protection hidden="1"/>
    </xf>
    <xf numFmtId="0" fontId="37" fillId="0" borderId="20" xfId="0" applyFont="1" applyBorder="1" applyAlignment="1" applyProtection="1">
      <alignment horizontal="right" vertical="center"/>
      <protection hidden="1"/>
    </xf>
    <xf numFmtId="0" fontId="37" fillId="0" borderId="0" xfId="0" applyFont="1" applyAlignment="1" applyProtection="1">
      <alignment horizontal="right" vertical="center"/>
      <protection hidden="1"/>
    </xf>
    <xf numFmtId="0" fontId="37" fillId="0" borderId="21" xfId="0" applyFont="1" applyBorder="1" applyAlignment="1" applyProtection="1">
      <alignment horizontal="right" vertical="center"/>
      <protection hidden="1"/>
    </xf>
    <xf numFmtId="0" fontId="37" fillId="0" borderId="17" xfId="0" applyFont="1" applyBorder="1" applyAlignment="1" applyProtection="1">
      <alignment horizontal="right" vertical="center"/>
      <protection hidden="1"/>
    </xf>
    <xf numFmtId="0" fontId="37" fillId="0" borderId="18" xfId="0" applyFont="1" applyBorder="1" applyAlignment="1" applyProtection="1">
      <alignment horizontal="right" vertical="center"/>
      <protection hidden="1"/>
    </xf>
    <xf numFmtId="0" fontId="37" fillId="0" borderId="19" xfId="0" applyFont="1" applyBorder="1" applyAlignment="1" applyProtection="1">
      <alignment horizontal="right" vertical="center"/>
      <protection hidden="1"/>
    </xf>
    <xf numFmtId="170" fontId="22" fillId="0" borderId="11" xfId="0" applyNumberFormat="1" applyFont="1" applyBorder="1" applyAlignment="1" applyProtection="1">
      <alignment horizontal="right" vertical="center"/>
      <protection hidden="1"/>
    </xf>
    <xf numFmtId="170" fontId="22" fillId="0" borderId="12" xfId="0" applyNumberFormat="1" applyFont="1" applyBorder="1" applyAlignment="1" applyProtection="1">
      <alignment horizontal="right" vertical="center"/>
      <protection hidden="1"/>
    </xf>
    <xf numFmtId="170" fontId="22" fillId="0" borderId="13" xfId="0" applyNumberFormat="1" applyFont="1" applyBorder="1" applyAlignment="1" applyProtection="1">
      <alignment horizontal="right" vertical="center"/>
      <protection hidden="1"/>
    </xf>
    <xf numFmtId="0" fontId="41" fillId="0" borderId="14" xfId="0" applyFont="1" applyBorder="1" applyAlignment="1" applyProtection="1">
      <alignment horizontal="right" vertical="center" wrapText="1"/>
      <protection hidden="1"/>
    </xf>
    <xf numFmtId="0" fontId="41" fillId="0" borderId="15" xfId="0" applyFont="1" applyBorder="1" applyAlignment="1" applyProtection="1">
      <alignment horizontal="right" vertical="center" wrapText="1"/>
      <protection hidden="1"/>
    </xf>
    <xf numFmtId="0" fontId="41" fillId="0" borderId="16" xfId="0" applyFont="1" applyBorder="1" applyAlignment="1" applyProtection="1">
      <alignment horizontal="right" vertical="center" wrapText="1"/>
      <protection hidden="1"/>
    </xf>
    <xf numFmtId="0" fontId="41" fillId="0" borderId="20" xfId="0" applyFont="1" applyBorder="1" applyAlignment="1" applyProtection="1">
      <alignment horizontal="right" vertical="center" wrapText="1"/>
      <protection hidden="1"/>
    </xf>
    <xf numFmtId="0" fontId="41" fillId="0" borderId="0" xfId="0" applyFont="1" applyAlignment="1" applyProtection="1">
      <alignment horizontal="right" vertical="center" wrapText="1"/>
      <protection hidden="1"/>
    </xf>
    <xf numFmtId="0" fontId="41" fillId="0" borderId="21" xfId="0" applyFont="1" applyBorder="1" applyAlignment="1" applyProtection="1">
      <alignment horizontal="right" vertical="center" wrapText="1"/>
      <protection hidden="1"/>
    </xf>
    <xf numFmtId="0" fontId="44" fillId="0" borderId="20" xfId="0" applyFont="1" applyBorder="1" applyAlignment="1" applyProtection="1">
      <alignment horizontal="right" vertical="center" wrapText="1"/>
      <protection hidden="1"/>
    </xf>
    <xf numFmtId="0" fontId="44" fillId="0" borderId="0" xfId="0" applyFont="1" applyAlignment="1" applyProtection="1">
      <alignment horizontal="right" vertical="center" wrapText="1"/>
      <protection hidden="1"/>
    </xf>
    <xf numFmtId="0" fontId="44" fillId="0" borderId="21" xfId="0" applyFont="1" applyBorder="1" applyAlignment="1" applyProtection="1">
      <alignment horizontal="right" vertical="center" wrapText="1"/>
      <protection hidden="1"/>
    </xf>
    <xf numFmtId="0" fontId="44" fillId="0" borderId="17" xfId="0" applyFont="1" applyBorder="1" applyAlignment="1" applyProtection="1">
      <alignment horizontal="right" vertical="center" wrapText="1"/>
      <protection hidden="1"/>
    </xf>
    <xf numFmtId="0" fontId="44" fillId="0" borderId="18" xfId="0" applyFont="1" applyBorder="1" applyAlignment="1" applyProtection="1">
      <alignment horizontal="right" vertical="center" wrapText="1"/>
      <protection hidden="1"/>
    </xf>
    <xf numFmtId="0" fontId="44" fillId="0" borderId="19" xfId="0" applyFont="1" applyBorder="1" applyAlignment="1" applyProtection="1">
      <alignment horizontal="right" vertical="center" wrapText="1"/>
      <protection hidden="1"/>
    </xf>
  </cellXfs>
  <cellStyles count="13">
    <cellStyle name="Comma" xfId="7" builtinId="3"/>
    <cellStyle name="Comma 2" xfId="10" xr:uid="{00000000-0005-0000-0000-000001000000}"/>
    <cellStyle name="Comma 4" xfId="3" xr:uid="{00000000-0005-0000-0000-000002000000}"/>
    <cellStyle name="Normal" xfId="0" builtinId="0"/>
    <cellStyle name="Normal 2" xfId="8" xr:uid="{00000000-0005-0000-0000-000004000000}"/>
    <cellStyle name="Normal 3" xfId="11" xr:uid="{00000000-0005-0000-0000-000005000000}"/>
    <cellStyle name="Normal 3 2" xfId="12" xr:uid="{00000000-0005-0000-0000-000006000000}"/>
    <cellStyle name="Normal 4" xfId="2" xr:uid="{00000000-0005-0000-0000-000007000000}"/>
    <cellStyle name="Num" xfId="4" xr:uid="{00000000-0005-0000-0000-000008000000}"/>
    <cellStyle name="Num 1D" xfId="6" xr:uid="{00000000-0005-0000-0000-000009000000}"/>
    <cellStyle name="Percent" xfId="1" builtinId="5"/>
    <cellStyle name="Percent 2" xfId="9" xr:uid="{00000000-0005-0000-0000-00000B000000}"/>
    <cellStyle name="Total 2" xfId="5" xr:uid="{00000000-0005-0000-0000-00000C000000}"/>
  </cellStyles>
  <dxfs count="196">
    <dxf>
      <fill>
        <patternFill>
          <bgColor theme="0"/>
        </patternFill>
      </fill>
    </dxf>
    <dxf>
      <numFmt numFmtId="174" formatCode="#,##0.000,,"/>
    </dxf>
    <dxf>
      <fill>
        <patternFill>
          <bgColor theme="0"/>
        </patternFill>
      </fill>
    </dxf>
    <dxf>
      <numFmt numFmtId="179" formatCode="#,##0.000"/>
    </dxf>
    <dxf>
      <fill>
        <patternFill>
          <bgColor theme="0"/>
        </patternFill>
      </fill>
    </dxf>
    <dxf>
      <numFmt numFmtId="173" formatCode=";;;"/>
      <fill>
        <patternFill>
          <bgColor theme="0"/>
        </patternFill>
      </fill>
    </dxf>
    <dxf>
      <numFmt numFmtId="173" formatCode=";;;"/>
      <fill>
        <patternFill>
          <bgColor theme="0"/>
        </patternFill>
      </fill>
    </dxf>
    <dxf>
      <numFmt numFmtId="173" formatCode=";;;"/>
      <fill>
        <patternFill>
          <bgColor theme="0"/>
        </patternFill>
      </fill>
    </dxf>
    <dxf>
      <numFmt numFmtId="173" formatCode=";;;"/>
      <fill>
        <patternFill>
          <bgColor theme="0"/>
        </patternFill>
      </fill>
    </dxf>
    <dxf>
      <numFmt numFmtId="173" formatCode=";;;"/>
      <fill>
        <patternFill>
          <bgColor theme="0"/>
        </patternFill>
      </fill>
    </dxf>
    <dxf>
      <numFmt numFmtId="172" formatCode="#,##0.00,"/>
    </dxf>
    <dxf>
      <numFmt numFmtId="172" formatCode="#,##0.00,"/>
    </dxf>
    <dxf>
      <fill>
        <patternFill>
          <bgColor theme="0" tint="-4.9989318521683403E-2"/>
        </patternFill>
      </fill>
    </dxf>
    <dxf>
      <numFmt numFmtId="173" formatCode=";;;"/>
    </dxf>
    <dxf>
      <fill>
        <patternFill>
          <bgColor theme="0"/>
        </patternFill>
      </fill>
    </dxf>
    <dxf>
      <numFmt numFmtId="172" formatCode="#,##0.00,"/>
    </dxf>
    <dxf>
      <font>
        <b/>
        <i val="0"/>
        <color theme="1"/>
      </font>
      <fill>
        <patternFill>
          <bgColor theme="6" tint="0.39994506668294322"/>
        </patternFill>
      </fill>
    </dxf>
    <dxf>
      <font>
        <b/>
        <i val="0"/>
        <color theme="1"/>
      </font>
      <fill>
        <patternFill>
          <bgColor theme="6" tint="0.59996337778862885"/>
        </patternFill>
      </fill>
    </dxf>
    <dxf>
      <font>
        <b/>
        <i val="0"/>
        <color theme="1"/>
      </font>
      <fill>
        <patternFill>
          <bgColor theme="6" tint="0.79998168889431442"/>
        </patternFill>
      </fill>
    </dxf>
    <dxf>
      <font>
        <b/>
        <i val="0"/>
        <color theme="0"/>
      </font>
      <fill>
        <patternFill>
          <bgColor theme="1" tint="0.499984740745262"/>
        </patternFill>
      </fill>
    </dxf>
    <dxf>
      <font>
        <b/>
        <i val="0"/>
        <color theme="0"/>
      </font>
      <fill>
        <patternFill>
          <bgColor theme="1" tint="0.499984740745262"/>
        </patternFill>
      </fill>
    </dxf>
    <dxf>
      <fill>
        <patternFill>
          <bgColor theme="0" tint="-4.9989318521683403E-2"/>
        </patternFill>
      </fill>
    </dxf>
    <dxf>
      <font>
        <b/>
        <i val="0"/>
        <color theme="0"/>
      </font>
      <fill>
        <patternFill>
          <bgColor theme="1" tint="0.499984740745262"/>
        </patternFill>
      </fill>
    </dxf>
    <dxf>
      <fill>
        <patternFill>
          <bgColor theme="0"/>
        </patternFill>
      </fill>
    </dxf>
    <dxf>
      <numFmt numFmtId="173" formatCode=";;;"/>
    </dxf>
    <dxf>
      <fill>
        <patternFill>
          <bgColor theme="0"/>
        </patternFill>
      </fill>
    </dxf>
    <dxf>
      <font>
        <b/>
        <i val="0"/>
        <color theme="1"/>
      </font>
      <fill>
        <patternFill>
          <bgColor rgb="FF92D050"/>
        </patternFill>
      </fill>
    </dxf>
    <dxf>
      <font>
        <b/>
        <i val="0"/>
        <color theme="1"/>
      </font>
      <fill>
        <patternFill>
          <bgColor rgb="FFFFC000"/>
        </patternFill>
      </fill>
    </dxf>
    <dxf>
      <font>
        <b/>
        <i val="0"/>
      </font>
      <fill>
        <patternFill>
          <bgColor rgb="FFFFC000"/>
        </patternFill>
      </fill>
    </dxf>
    <dxf>
      <font>
        <b/>
        <i val="0"/>
        <color theme="1"/>
      </font>
      <fill>
        <patternFill>
          <bgColor rgb="FF92D05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numFmt numFmtId="173" formatCode=";;;"/>
      <fill>
        <patternFill>
          <bgColor theme="0"/>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ont>
        <b/>
        <i val="0"/>
      </font>
      <fill>
        <patternFill>
          <bgColor rgb="FFFFC000"/>
        </patternFill>
      </fill>
    </dxf>
    <dxf>
      <font>
        <b/>
        <i val="0"/>
        <color theme="1"/>
      </font>
      <fill>
        <patternFill>
          <bgColor rgb="FF92D05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9" formatCode="#,##0.000"/>
    </dxf>
    <dxf>
      <numFmt numFmtId="170" formatCode="#,##0.0"/>
    </dxf>
    <dxf>
      <font>
        <b/>
        <i val="0"/>
        <color theme="1"/>
      </font>
      <fill>
        <patternFill>
          <bgColor rgb="FF92D050"/>
        </patternFill>
      </fill>
    </dxf>
    <dxf>
      <font>
        <b/>
        <i val="0"/>
        <color theme="1"/>
      </font>
      <fill>
        <patternFill>
          <bgColor rgb="FFFFC0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numFmt numFmtId="173" formatCode=";;;"/>
      <fill>
        <patternFill>
          <bgColor theme="0"/>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font>
      <fill>
        <patternFill>
          <bgColor rgb="FFFFC0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1"/>
      </font>
      <fill>
        <patternFill>
          <bgColor rgb="FFFFFF00"/>
        </patternFill>
      </fill>
    </dxf>
    <dxf>
      <font>
        <b/>
        <i val="0"/>
        <color theme="0"/>
      </font>
      <fill>
        <patternFill>
          <bgColor theme="6" tint="-0.24994659260841701"/>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9" formatCode="#,##0.000"/>
    </dxf>
    <dxf>
      <numFmt numFmtId="170" formatCode="#,##0.0"/>
    </dxf>
    <dxf>
      <font>
        <b/>
        <i val="0"/>
        <color theme="1"/>
      </font>
      <fill>
        <patternFill>
          <bgColor rgb="FF92D050"/>
        </patternFill>
      </fill>
    </dxf>
    <dxf>
      <font>
        <b/>
        <i val="0"/>
        <color theme="1"/>
      </font>
      <fill>
        <patternFill>
          <bgColor rgb="FFFFC000"/>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ont>
        <b/>
        <i val="0"/>
      </font>
      <fill>
        <patternFill>
          <bgColor rgb="FFFFC000"/>
        </patternFill>
      </fill>
    </dxf>
    <dxf>
      <font>
        <b/>
        <i val="0"/>
        <color theme="1"/>
      </font>
      <fill>
        <patternFill>
          <bgColor rgb="FF92D05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9" formatCode="#,##0.000"/>
    </dxf>
    <dxf>
      <numFmt numFmtId="170" formatCode="#,##0.0"/>
    </dxf>
    <dxf>
      <font>
        <b/>
        <i val="0"/>
        <color theme="1"/>
      </font>
      <fill>
        <patternFill>
          <bgColor rgb="FF92D050"/>
        </patternFill>
      </fill>
    </dxf>
    <dxf>
      <font>
        <b/>
        <i val="0"/>
        <color theme="1"/>
      </font>
      <fill>
        <patternFill>
          <bgColor rgb="FFFFC000"/>
        </patternFill>
      </fill>
    </dxf>
    <dxf>
      <numFmt numFmtId="173" formatCode=";;;"/>
      <fill>
        <patternFill>
          <bgColor theme="0"/>
        </patternFill>
      </fill>
    </dxf>
    <dxf>
      <numFmt numFmtId="173" formatCode=";;;"/>
      <fill>
        <patternFill>
          <bgColor theme="0"/>
        </patternFill>
      </fill>
    </dxf>
    <dxf>
      <numFmt numFmtId="172" formatCode="#,##0.00,"/>
    </dxf>
    <dxf>
      <numFmt numFmtId="172" formatCode="#,##0.00,"/>
    </dxf>
    <dxf>
      <numFmt numFmtId="172" formatCode="#,##0.00,"/>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fill>
        <patternFill>
          <bgColor theme="0"/>
        </patternFill>
      </fill>
    </dxf>
    <dxf>
      <font>
        <b/>
        <i val="0"/>
      </font>
      <fill>
        <patternFill>
          <bgColor rgb="FFFFC000"/>
        </patternFill>
      </fill>
    </dxf>
    <dxf>
      <font>
        <b/>
        <i val="0"/>
      </font>
      <fill>
        <patternFill>
          <bgColor rgb="FF92D050"/>
        </patternFill>
      </fill>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font>
        <b/>
        <i val="0"/>
        <color rgb="FFFFFF00"/>
      </font>
      <fill>
        <patternFill>
          <bgColor rgb="FFFF0000"/>
        </patternFill>
      </fill>
    </dxf>
    <dxf>
      <numFmt numFmtId="179" formatCode="#,##0.000"/>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color rgb="FFFFFF00"/>
      </font>
      <fill>
        <patternFill>
          <bgColor rgb="FFFF0000"/>
        </patternFill>
      </fill>
    </dxf>
    <dxf>
      <numFmt numFmtId="179" formatCode="#,##0.000"/>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9" defaultPivotStyle="PivotStyleLight16"/>
  <colors>
    <mruColors>
      <color rgb="FF558ED5"/>
      <color rgb="FFFFE8B9"/>
      <color rgb="FFECF2F8"/>
      <color rgb="FFE3EBF5"/>
      <color rgb="FFEFF4E4"/>
      <color rgb="FFFAFBF7"/>
      <color rgb="FFFFF2C9"/>
      <color rgb="FFFFFFFF"/>
      <color rgb="FFF7F7F7"/>
      <color rgb="FFFBFB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ABBF-4C6D-AF49-975AEB757B46}"/>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HEADLINES'!$I$13</c:f>
              <c:numCache>
                <c:formatCode>0.0%</c:formatCode>
                <c:ptCount val="1"/>
                <c:pt idx="0">
                  <c:v>0.51505760415459778</c:v>
                </c:pt>
              </c:numCache>
            </c:numRef>
          </c:val>
          <c:extLst>
            <c:ext xmlns:c16="http://schemas.microsoft.com/office/drawing/2014/chart" uri="{C3380CC4-5D6E-409C-BE32-E72D297353CC}">
              <c16:uniqueId val="{00000001-ABBF-4C6D-AF49-975AEB757B46}"/>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ABBF-4C6D-AF49-975AEB757B46}"/>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HEADLINES'!$I$14</c:f>
              <c:numCache>
                <c:formatCode>0.0%</c:formatCode>
                <c:ptCount val="1"/>
                <c:pt idx="0">
                  <c:v>0.51335956156670859</c:v>
                </c:pt>
              </c:numCache>
            </c:numRef>
          </c:val>
          <c:extLst>
            <c:ext xmlns:c16="http://schemas.microsoft.com/office/drawing/2014/chart" uri="{C3380CC4-5D6E-409C-BE32-E72D297353CC}">
              <c16:uniqueId val="{00000003-ABBF-4C6D-AF49-975AEB757B46}"/>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ABBF-4C6D-AF49-975AEB757B46}"/>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HEADLINES'!$I$16</c:f>
              <c:numCache>
                <c:formatCode>0.0%</c:formatCode>
                <c:ptCount val="1"/>
                <c:pt idx="0">
                  <c:v>0.50964794617381637</c:v>
                </c:pt>
              </c:numCache>
            </c:numRef>
          </c:val>
          <c:extLst>
            <c:ext xmlns:c16="http://schemas.microsoft.com/office/drawing/2014/chart" uri="{C3380CC4-5D6E-409C-BE32-E72D297353CC}">
              <c16:uniqueId val="{00000005-ABBF-4C6D-AF49-975AEB757B46}"/>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HEADLINES'!$I$17</c:f>
              <c:numCache>
                <c:formatCode>0.0%</c:formatCode>
                <c:ptCount val="1"/>
                <c:pt idx="0">
                  <c:v>0.48616495189359776</c:v>
                </c:pt>
              </c:numCache>
            </c:numRef>
          </c:val>
          <c:extLst>
            <c:ext xmlns:c16="http://schemas.microsoft.com/office/drawing/2014/chart" uri="{C3380CC4-5D6E-409C-BE32-E72D297353CC}">
              <c16:uniqueId val="{00000006-ABBF-4C6D-AF49-975AEB757B46}"/>
            </c:ext>
          </c:extLst>
        </c:ser>
        <c:dLbls>
          <c:dLblPos val="outEnd"/>
          <c:showLegendKey val="0"/>
          <c:showVal val="1"/>
          <c:showCatName val="0"/>
          <c:showSerName val="0"/>
          <c:showPercent val="0"/>
          <c:showBubbleSize val="0"/>
        </c:dLbls>
        <c:gapWidth val="0"/>
        <c:overlap val="10"/>
        <c:axId val="683551344"/>
        <c:axId val="683553304"/>
      </c:barChart>
      <c:catAx>
        <c:axId val="683551344"/>
        <c:scaling>
          <c:orientation val="minMax"/>
        </c:scaling>
        <c:delete val="1"/>
        <c:axPos val="b"/>
        <c:majorTickMark val="none"/>
        <c:minorTickMark val="none"/>
        <c:tickLblPos val="nextTo"/>
        <c:crossAx val="683553304"/>
        <c:crosses val="autoZero"/>
        <c:auto val="1"/>
        <c:lblAlgn val="ctr"/>
        <c:lblOffset val="100"/>
        <c:noMultiLvlLbl val="0"/>
      </c:catAx>
      <c:valAx>
        <c:axId val="683553304"/>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1344"/>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69736842105263"/>
          <c:y val="0"/>
          <c:w val="0.82730263157894735"/>
          <c:h val="0.6863162393162392"/>
        </c:manualLayout>
      </c:layout>
      <c:barChart>
        <c:barDir val="col"/>
        <c:grouping val="clustered"/>
        <c:varyColors val="0"/>
        <c:ser>
          <c:idx val="4"/>
          <c:order val="0"/>
          <c:tx>
            <c:v>Tourist Numbers</c:v>
          </c:tx>
          <c:spPr>
            <a:solidFill>
              <a:srgbClr val="00B05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3"/>
                </a:solidFill>
                <a:prstDash val="sysDash"/>
              </a:ln>
              <a:effectLst/>
            </c:spPr>
            <c:trendlineType val="linear"/>
            <c:dispRSqr val="0"/>
            <c:dispEq val="0"/>
          </c:trendline>
          <c:cat>
            <c:numRef>
              <c:f>'VISITOR NUMBERS'!EIYEARS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NUMBERS'!EIVISTYPETOTAL</c:f>
              <c:numCache>
                <c:formatCode>#,##0.00</c:formatCode>
                <c:ptCount val="12"/>
                <c:pt idx="0">
                  <c:v>26.80605877468464</c:v>
                </c:pt>
                <c:pt idx="1">
                  <c:v>26.191413093371573</c:v>
                </c:pt>
                <c:pt idx="2">
                  <c:v>27.330431486189696</c:v>
                </c:pt>
                <c:pt idx="3">
                  <c:v>27.907745286445831</c:v>
                </c:pt>
                <c:pt idx="4">
                  <c:v>29.080643760629009</c:v>
                </c:pt>
                <c:pt idx="5">
                  <c:v>29.338668912541362</c:v>
                </c:pt>
                <c:pt idx="6">
                  <c:v>29.787983649901538</c:v>
                </c:pt>
                <c:pt idx="7">
                  <c:v>30.26468923316558</c:v>
                </c:pt>
                <c:pt idx="8">
                  <c:v>31.147267232898365</c:v>
                </c:pt>
                <c:pt idx="9">
                  <c:v>12.100624029401027</c:v>
                </c:pt>
                <c:pt idx="10">
                  <c:v>23.955184897555572</c:v>
                </c:pt>
                <c:pt idx="11">
                  <c:v>30.964403794480585</c:v>
                </c:pt>
              </c:numCache>
            </c:numRef>
          </c:val>
          <c:extLst>
            <c:ext xmlns:c16="http://schemas.microsoft.com/office/drawing/2014/chart" uri="{C3380CC4-5D6E-409C-BE32-E72D297353CC}">
              <c16:uniqueId val="{00000001-8105-40DF-95E6-3AE710FF39EC}"/>
            </c:ext>
          </c:extLst>
        </c:ser>
        <c:dLbls>
          <c:showLegendKey val="0"/>
          <c:showVal val="0"/>
          <c:showCatName val="0"/>
          <c:showSerName val="0"/>
          <c:showPercent val="0"/>
          <c:showBubbleSize val="0"/>
        </c:dLbls>
        <c:gapWidth val="75"/>
        <c:axId val="683563496"/>
        <c:axId val="683567024"/>
      </c:barChart>
      <c:valAx>
        <c:axId val="683567024"/>
        <c:scaling>
          <c:orientation val="minMax"/>
          <c:min val="0"/>
        </c:scaling>
        <c:delete val="1"/>
        <c:axPos val="r"/>
        <c:numFmt formatCode="#,##0.00" sourceLinked="1"/>
        <c:majorTickMark val="out"/>
        <c:minorTickMark val="none"/>
        <c:tickLblPos val="nextTo"/>
        <c:crossAx val="683563496"/>
        <c:crosses val="max"/>
        <c:crossBetween val="between"/>
      </c:valAx>
      <c:catAx>
        <c:axId val="683563496"/>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83567024"/>
        <c:crosses val="autoZero"/>
        <c:auto val="1"/>
        <c:lblAlgn val="ctr"/>
        <c:lblOffset val="100"/>
        <c:noMultiLvlLbl val="0"/>
      </c:catAx>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a:noFill/>
        </a:ln>
        <a:effectLst/>
      </c:spPr>
    </c:plotArea>
    <c:legend>
      <c:legendPos val="b"/>
      <c:layout>
        <c:manualLayout>
          <c:xMode val="edge"/>
          <c:yMode val="edge"/>
          <c:x val="7.1815917078161817E-3"/>
          <c:y val="0.90841282051282046"/>
          <c:w val="0.98846189777125315"/>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47191011235955"/>
          <c:y val="0"/>
          <c:w val="0.85252808988764039"/>
          <c:h val="0.6863162393162392"/>
        </c:manualLayout>
      </c:layout>
      <c:barChart>
        <c:barDir val="col"/>
        <c:grouping val="clustered"/>
        <c:varyColors val="0"/>
        <c:ser>
          <c:idx val="4"/>
          <c:order val="0"/>
          <c:tx>
            <c:v>Tourist Days</c:v>
          </c:tx>
          <c:spPr>
            <a:solidFill>
              <a:srgbClr val="FF000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63500" cap="rnd">
                <a:solidFill>
                  <a:srgbClr val="FFC000"/>
                </a:solidFill>
                <a:prstDash val="sysDash"/>
              </a:ln>
              <a:effectLst/>
            </c:spPr>
            <c:trendlineType val="linear"/>
            <c:dispRSqr val="0"/>
            <c:dispEq val="0"/>
          </c:trendline>
          <c:cat>
            <c:numRef>
              <c:f>'VISITOR DAYS'!EIYEARS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DAYS'!EIVISTYPETOTAL</c:f>
              <c:numCache>
                <c:formatCode>#,##0.00</c:formatCode>
                <c:ptCount val="12"/>
                <c:pt idx="0">
                  <c:v>60.344694689389542</c:v>
                </c:pt>
                <c:pt idx="1">
                  <c:v>58.478709478714649</c:v>
                </c:pt>
                <c:pt idx="2">
                  <c:v>61.211531576897045</c:v>
                </c:pt>
                <c:pt idx="3">
                  <c:v>62.274294890838938</c:v>
                </c:pt>
                <c:pt idx="4">
                  <c:v>63.874355948812322</c:v>
                </c:pt>
                <c:pt idx="5">
                  <c:v>64.696855086124785</c:v>
                </c:pt>
                <c:pt idx="6">
                  <c:v>66.707627274221522</c:v>
                </c:pt>
                <c:pt idx="7">
                  <c:v>67.928538411932593</c:v>
                </c:pt>
                <c:pt idx="8">
                  <c:v>69.972248432281134</c:v>
                </c:pt>
                <c:pt idx="9">
                  <c:v>26.014239586231906</c:v>
                </c:pt>
                <c:pt idx="10">
                  <c:v>52.885260520603339</c:v>
                </c:pt>
                <c:pt idx="11">
                  <c:v>69.978224310341901</c:v>
                </c:pt>
              </c:numCache>
            </c:numRef>
          </c:val>
          <c:extLst>
            <c:ext xmlns:c16="http://schemas.microsoft.com/office/drawing/2014/chart" uri="{C3380CC4-5D6E-409C-BE32-E72D297353CC}">
              <c16:uniqueId val="{00000001-26C2-4D2D-BDFD-9B17E72D0209}"/>
            </c:ext>
          </c:extLst>
        </c:ser>
        <c:dLbls>
          <c:showLegendKey val="0"/>
          <c:showVal val="0"/>
          <c:showCatName val="0"/>
          <c:showSerName val="0"/>
          <c:showPercent val="0"/>
          <c:showBubbleSize val="0"/>
        </c:dLbls>
        <c:gapWidth val="75"/>
        <c:axId val="683563888"/>
        <c:axId val="683563104"/>
      </c:barChart>
      <c:valAx>
        <c:axId val="683563104"/>
        <c:scaling>
          <c:orientation val="minMax"/>
          <c:min val="0"/>
        </c:scaling>
        <c:delete val="1"/>
        <c:axPos val="r"/>
        <c:numFmt formatCode="#,##0.00" sourceLinked="1"/>
        <c:majorTickMark val="out"/>
        <c:minorTickMark val="none"/>
        <c:tickLblPos val="nextTo"/>
        <c:crossAx val="683563888"/>
        <c:crosses val="max"/>
        <c:crossBetween val="between"/>
      </c:valAx>
      <c:catAx>
        <c:axId val="683563888"/>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83563104"/>
        <c:crosses val="autoZero"/>
        <c:auto val="1"/>
        <c:lblAlgn val="ctr"/>
        <c:lblOffset val="100"/>
        <c:noMultiLvlLbl val="0"/>
      </c:catAx>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plotArea>
    <c:legend>
      <c:legendPos val="b"/>
      <c:layout>
        <c:manualLayout>
          <c:xMode val="edge"/>
          <c:yMode val="edge"/>
          <c:x val="4.4057331403455436E-3"/>
          <c:y val="0.90841282051282046"/>
          <c:w val="0.99118853371930871"/>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72421281216069"/>
          <c:y val="0"/>
          <c:w val="0.82627578718783934"/>
          <c:h val="0.6863162393162392"/>
        </c:manualLayout>
      </c:layout>
      <c:barChart>
        <c:barDir val="col"/>
        <c:grouping val="clustered"/>
        <c:varyColors val="0"/>
        <c:ser>
          <c:idx val="4"/>
          <c:order val="0"/>
          <c:tx>
            <c:v>EMPLOYMENT</c:v>
          </c:tx>
          <c:spPr>
            <a:solidFill>
              <a:schemeClr val="accent6"/>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6">
                    <a:lumMod val="75000"/>
                  </a:schemeClr>
                </a:solidFill>
                <a:prstDash val="sysDash"/>
              </a:ln>
              <a:effectLst/>
            </c:spPr>
            <c:trendlineType val="linear"/>
            <c:dispRSqr val="0"/>
            <c:dispEq val="0"/>
          </c:trendline>
          <c:cat>
            <c:numRef>
              <c:f>EMPLOYMENT!EIYEARS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EMPLOYMENT!EIVISTYPETOTAL</c:f>
              <c:numCache>
                <c:formatCode>#,##0</c:formatCode>
                <c:ptCount val="12"/>
                <c:pt idx="0">
                  <c:v>41857.97052052401</c:v>
                </c:pt>
                <c:pt idx="1">
                  <c:v>40510.260920029345</c:v>
                </c:pt>
                <c:pt idx="2">
                  <c:v>42586.747621159833</c:v>
                </c:pt>
                <c:pt idx="3">
                  <c:v>40151.8673282405</c:v>
                </c:pt>
                <c:pt idx="4">
                  <c:v>42209.514072019476</c:v>
                </c:pt>
                <c:pt idx="5">
                  <c:v>42716.372619566493</c:v>
                </c:pt>
                <c:pt idx="6">
                  <c:v>43078.834951451223</c:v>
                </c:pt>
                <c:pt idx="7">
                  <c:v>44399.360517048823</c:v>
                </c:pt>
                <c:pt idx="8">
                  <c:v>46804.431472927427</c:v>
                </c:pt>
                <c:pt idx="9">
                  <c:v>22287.678606140249</c:v>
                </c:pt>
                <c:pt idx="10">
                  <c:v>35497.521450317676</c:v>
                </c:pt>
                <c:pt idx="11">
                  <c:v>45200.777334984399</c:v>
                </c:pt>
              </c:numCache>
            </c:numRef>
          </c:val>
          <c:extLst>
            <c:ext xmlns:c16="http://schemas.microsoft.com/office/drawing/2014/chart" uri="{C3380CC4-5D6E-409C-BE32-E72D297353CC}">
              <c16:uniqueId val="{00000001-75E2-41F2-87AA-2A5A12285D70}"/>
            </c:ext>
          </c:extLst>
        </c:ser>
        <c:dLbls>
          <c:showLegendKey val="0"/>
          <c:showVal val="0"/>
          <c:showCatName val="0"/>
          <c:showSerName val="0"/>
          <c:showPercent val="0"/>
          <c:showBubbleSize val="0"/>
        </c:dLbls>
        <c:gapWidth val="75"/>
        <c:axId val="683564280"/>
        <c:axId val="683566240"/>
      </c:barChart>
      <c:valAx>
        <c:axId val="683566240"/>
        <c:scaling>
          <c:orientation val="minMax"/>
          <c:min val="0"/>
        </c:scaling>
        <c:delete val="1"/>
        <c:axPos val="r"/>
        <c:numFmt formatCode="#,##0" sourceLinked="1"/>
        <c:majorTickMark val="out"/>
        <c:minorTickMark val="none"/>
        <c:tickLblPos val="nextTo"/>
        <c:crossAx val="683564280"/>
        <c:crosses val="max"/>
        <c:crossBetween val="between"/>
      </c:valAx>
      <c:catAx>
        <c:axId val="683564280"/>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83566240"/>
        <c:crosses val="autoZero"/>
        <c:auto val="1"/>
        <c:lblAlgn val="ctr"/>
        <c:lblOffset val="100"/>
        <c:noMultiLvlLbl val="0"/>
      </c:catAx>
      <c:spPr>
        <a:gradFill flip="none" rotWithShape="1">
          <a:gsLst>
            <a:gs pos="0">
              <a:schemeClr val="accent6">
                <a:lumMod val="5000"/>
                <a:lumOff val="95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lin ang="5400000" scaled="1"/>
          <a:tileRect/>
        </a:gradFill>
        <a:ln>
          <a:noFill/>
        </a:ln>
        <a:effectLst/>
      </c:spPr>
    </c:plotArea>
    <c:legend>
      <c:legendPos val="b"/>
      <c:layout>
        <c:manualLayout>
          <c:xMode val="edge"/>
          <c:yMode val="edge"/>
          <c:x val="5.8901641532096705E-3"/>
          <c:y val="0.90841282051282046"/>
          <c:w val="0.98821967169358094"/>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3504953452725502"/>
          <c:w val="0.8086810107611232"/>
          <c:h val="0.86495046547274501"/>
        </c:manualLayout>
      </c:layout>
      <c:pieChart>
        <c:varyColors val="1"/>
        <c:dLbls>
          <c:dLblPos val="inEnd"/>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chemeClr val="accent1">
                  <a:alpha val="40000"/>
                </a:scheme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1-6031-46A0-9E10-C0871D5A94F1}"/>
              </c:ext>
            </c:extLst>
          </c:dPt>
          <c:dPt>
            <c:idx val="1"/>
            <c:bubble3D val="0"/>
            <c:spPr>
              <a:solidFill>
                <a:schemeClr val="accent3">
                  <a:lumMod val="40000"/>
                  <a:lumOff val="60000"/>
                </a:schemeClr>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3-6031-46A0-9E10-C0871D5A94F1}"/>
              </c:ext>
            </c:extLst>
          </c:dPt>
          <c:dPt>
            <c:idx val="2"/>
            <c:bubble3D val="0"/>
            <c:spPr>
              <a:solidFill>
                <a:schemeClr val="accent3"/>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5-6031-46A0-9E10-C0871D5A94F1}"/>
              </c:ext>
            </c:extLst>
          </c:dPt>
          <c:dPt>
            <c:idx val="3"/>
            <c:bubble3D val="0"/>
            <c:spPr>
              <a:solidFill>
                <a:srgbClr val="FFFF00"/>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7-6031-46A0-9E10-C0871D5A94F1}"/>
              </c:ext>
            </c:extLst>
          </c:dPt>
          <c:dPt>
            <c:idx val="4"/>
            <c:bubble3D val="0"/>
            <c:spPr>
              <a:solidFill>
                <a:srgbClr val="FFFF00"/>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9-6031-46A0-9E10-C0871D5A94F1}"/>
              </c:ext>
            </c:extLst>
          </c:dPt>
          <c:dPt>
            <c:idx val="5"/>
            <c:bubble3D val="0"/>
            <c:spPr>
              <a:solidFill>
                <a:schemeClr val="accent6"/>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B-6031-46A0-9E10-C0871D5A94F1}"/>
              </c:ext>
            </c:extLst>
          </c:dPt>
          <c:dLbls>
            <c:dLbl>
              <c:idx val="3"/>
              <c:delete val="1"/>
              <c:extLst>
                <c:ext xmlns:c15="http://schemas.microsoft.com/office/drawing/2012/chart" uri="{CE6537A1-D6FC-4f65-9D91-7224C49458BB}"/>
                <c:ext xmlns:c16="http://schemas.microsoft.com/office/drawing/2014/chart" uri="{C3380CC4-5D6E-409C-BE32-E72D297353CC}">
                  <c16:uniqueId val="{00000007-6031-46A0-9E10-C0871D5A94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'VISITOR TYPE DISTRIBUTION'!$G$12:$G$15</c:f>
              <c:numCache>
                <c:formatCode>;;;</c:formatCode>
                <c:ptCount val="4"/>
                <c:pt idx="0">
                  <c:v>625004.61291611183</c:v>
                </c:pt>
                <c:pt idx="1">
                  <c:v>2414739.8798773531</c:v>
                </c:pt>
                <c:pt idx="2">
                  <c:v>118139.66288884974</c:v>
                </c:pt>
                <c:pt idx="3">
                  <c:v>1000249.6053959068</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6031-46A0-9E10-C0871D5A94F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F653-41A7-BF4C-158755060172}"/>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F653-41A7-BF4C-158755060172}"/>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F653-41A7-BF4C-158755060172}"/>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F653-41A7-BF4C-158755060172}"/>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F653-41A7-BF4C-158755060172}"/>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F653-41A7-BF4C-158755060172}"/>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F653-41A7-BF4C-158755060172}"/>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653-41A7-BF4C-158755060172}"/>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653-41A7-BF4C-158755060172}"/>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653-41A7-BF4C-158755060172}"/>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653-41A7-BF4C-15875506017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DISTRIBUTION'!$G$10,'VISITOR TYPE DISTRIBUTION'!$G$11)</c:f>
              <c:numCache>
                <c:formatCode>;;;</c:formatCode>
                <c:ptCount val="2"/>
                <c:pt idx="0">
                  <c:v>3157884.1556823147</c:v>
                </c:pt>
                <c:pt idx="1">
                  <c:v>1000249.6053959068</c:v>
                </c:pt>
              </c:numCache>
            </c:numRef>
          </c:val>
          <c:extLst>
            <c:ext xmlns:c16="http://schemas.microsoft.com/office/drawing/2014/chart" uri="{C3380CC4-5D6E-409C-BE32-E72D297353CC}">
              <c16:uniqueId val="{0000000C-F653-41A7-BF4C-15875506017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rgbClr val="00B050">
                  <a:alpha val="40000"/>
                </a:srgb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1-9D3B-4821-85ED-5587D7BE0659}"/>
              </c:ext>
            </c:extLst>
          </c:dPt>
          <c:dPt>
            <c:idx val="1"/>
            <c:bubble3D val="0"/>
            <c:spPr>
              <a:solidFill>
                <a:schemeClr val="accent3">
                  <a:lumMod val="40000"/>
                  <a:lumOff val="60000"/>
                </a:schemeClr>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3-9D3B-4821-85ED-5587D7BE0659}"/>
              </c:ext>
            </c:extLst>
          </c:dPt>
          <c:dPt>
            <c:idx val="2"/>
            <c:bubble3D val="0"/>
            <c:spPr>
              <a:solidFill>
                <a:schemeClr val="accent3"/>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5-9D3B-4821-85ED-5587D7BE0659}"/>
              </c:ext>
            </c:extLst>
          </c:dPt>
          <c:dPt>
            <c:idx val="3"/>
            <c:bubble3D val="0"/>
            <c:spPr>
              <a:solidFill>
                <a:srgbClr val="FFFF00"/>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7-9D3B-4821-85ED-5587D7BE0659}"/>
              </c:ext>
            </c:extLst>
          </c:dPt>
          <c:dPt>
            <c:idx val="4"/>
            <c:bubble3D val="0"/>
            <c:spPr>
              <a:solidFill>
                <a:srgbClr val="FFFF00"/>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9-9D3B-4821-85ED-5587D7BE0659}"/>
              </c:ext>
            </c:extLst>
          </c:dPt>
          <c:dPt>
            <c:idx val="5"/>
            <c:bubble3D val="0"/>
            <c:spPr>
              <a:solidFill>
                <a:schemeClr val="accent6"/>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B-9D3B-4821-85ED-5587D7BE0659}"/>
              </c:ext>
            </c:extLst>
          </c:dPt>
          <c:dLbls>
            <c:dLbl>
              <c:idx val="0"/>
              <c:layout>
                <c:manualLayout>
                  <c:x val="-3.206627366544651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D3B-4821-85ED-5587D7BE0659}"/>
                </c:ext>
              </c:extLst>
            </c:dLbl>
            <c:dLbl>
              <c:idx val="1"/>
              <c:layout>
                <c:manualLayout>
                  <c:x val="8.0165684163616274E-3"/>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D3B-4821-85ED-5587D7BE0659}"/>
                </c:ext>
              </c:extLst>
            </c:dLbl>
            <c:dLbl>
              <c:idx val="2"/>
              <c:layout>
                <c:manualLayout>
                  <c:x val="2.8057989457265769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D3B-4821-85ED-5587D7BE0659}"/>
                </c:ext>
              </c:extLst>
            </c:dLbl>
            <c:dLbl>
              <c:idx val="3"/>
              <c:delete val="1"/>
              <c:extLst>
                <c:ext xmlns:c15="http://schemas.microsoft.com/office/drawing/2012/chart" uri="{CE6537A1-D6FC-4f65-9D91-7224C49458BB}"/>
                <c:ext xmlns:c16="http://schemas.microsoft.com/office/drawing/2014/chart" uri="{C3380CC4-5D6E-409C-BE32-E72D297353CC}">
                  <c16:uniqueId val="{00000007-9D3B-4821-85ED-5587D7BE065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'VISITOR TYPE DISTRIBUTION'!$I$12:$I$15</c:f>
              <c:numCache>
                <c:formatCode>;;;</c:formatCode>
                <c:ptCount val="4"/>
                <c:pt idx="0">
                  <c:v>2768.8969327062391</c:v>
                </c:pt>
                <c:pt idx="1">
                  <c:v>6964.0393360634798</c:v>
                </c:pt>
                <c:pt idx="2">
                  <c:v>1061.1916292727274</c:v>
                </c:pt>
                <c:pt idx="3">
                  <c:v>20170.275896438143</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9D3B-4821-85ED-5587D7BE065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4214-4E7A-B6C1-D948995C6A72}"/>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4214-4E7A-B6C1-D948995C6A72}"/>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4214-4E7A-B6C1-D948995C6A72}"/>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4214-4E7A-B6C1-D948995C6A72}"/>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4214-4E7A-B6C1-D948995C6A72}"/>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4214-4E7A-B6C1-D948995C6A72}"/>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4214-4E7A-B6C1-D948995C6A72}"/>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214-4E7A-B6C1-D948995C6A72}"/>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214-4E7A-B6C1-D948995C6A72}"/>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214-4E7A-B6C1-D948995C6A72}"/>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214-4E7A-B6C1-D948995C6A7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DISTRIBUTION'!$I$10,'VISITOR TYPE DISTRIBUTION'!$I$11)</c:f>
              <c:numCache>
                <c:formatCode>;;;</c:formatCode>
                <c:ptCount val="2"/>
                <c:pt idx="0">
                  <c:v>10794.127898042447</c:v>
                </c:pt>
                <c:pt idx="1">
                  <c:v>20170.275896438143</c:v>
                </c:pt>
              </c:numCache>
            </c:numRef>
          </c:val>
          <c:extLst>
            <c:ext xmlns:c16="http://schemas.microsoft.com/office/drawing/2014/chart" uri="{C3380CC4-5D6E-409C-BE32-E72D297353CC}">
              <c16:uniqueId val="{0000000C-4214-4E7A-B6C1-D948995C6A7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rgbClr val="FF0000">
                  <a:alpha val="40000"/>
                </a:srgb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1-053D-4EDA-B783-48CBDEFEBF40}"/>
              </c:ext>
            </c:extLst>
          </c:dPt>
          <c:dPt>
            <c:idx val="1"/>
            <c:bubble3D val="0"/>
            <c:spPr>
              <a:solidFill>
                <a:schemeClr val="accent3">
                  <a:lumMod val="40000"/>
                  <a:lumOff val="60000"/>
                </a:schemeClr>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3-053D-4EDA-B783-48CBDEFEBF40}"/>
              </c:ext>
            </c:extLst>
          </c:dPt>
          <c:dPt>
            <c:idx val="2"/>
            <c:bubble3D val="0"/>
            <c:spPr>
              <a:solidFill>
                <a:schemeClr val="accent3"/>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5-053D-4EDA-B783-48CBDEFEBF40}"/>
              </c:ext>
            </c:extLst>
          </c:dPt>
          <c:dPt>
            <c:idx val="3"/>
            <c:bubble3D val="0"/>
            <c:spPr>
              <a:solidFill>
                <a:srgbClr val="FFFF00"/>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7-053D-4EDA-B783-48CBDEFEBF40}"/>
              </c:ext>
            </c:extLst>
          </c:dPt>
          <c:dPt>
            <c:idx val="4"/>
            <c:bubble3D val="0"/>
            <c:spPr>
              <a:solidFill>
                <a:srgbClr val="FFFF00"/>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9-053D-4EDA-B783-48CBDEFEBF40}"/>
              </c:ext>
            </c:extLst>
          </c:dPt>
          <c:dPt>
            <c:idx val="5"/>
            <c:bubble3D val="0"/>
            <c:spPr>
              <a:solidFill>
                <a:schemeClr val="accent6"/>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B-053D-4EDA-B783-48CBDEFEBF40}"/>
              </c:ext>
            </c:extLst>
          </c:dPt>
          <c:dLbls>
            <c:dLbl>
              <c:idx val="1"/>
              <c:layout>
                <c:manualLayout>
                  <c:x val="4.1052588365695702E-3"/>
                  <c:y val="9.9502448582893185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53D-4EDA-B783-48CBDEFEBF40}"/>
                </c:ext>
              </c:extLst>
            </c:dLbl>
            <c:dLbl>
              <c:idx val="2"/>
              <c:layout>
                <c:manualLayout>
                  <c:x val="1.2315776509708937E-2"/>
                  <c:y val="1.99004897165786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53D-4EDA-B783-48CBDEFEBF40}"/>
                </c:ext>
              </c:extLst>
            </c:dLbl>
            <c:dLbl>
              <c:idx val="3"/>
              <c:delete val="1"/>
              <c:extLst>
                <c:ext xmlns:c15="http://schemas.microsoft.com/office/drawing/2012/chart" uri="{CE6537A1-D6FC-4f65-9D91-7224C49458BB}"/>
                <c:ext xmlns:c16="http://schemas.microsoft.com/office/drawing/2014/chart" uri="{C3380CC4-5D6E-409C-BE32-E72D297353CC}">
                  <c16:uniqueId val="{00000007-053D-4EDA-B783-48CBDEFEBF4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'VISITOR TYPE DISTRIBUTION'!$H$12:$H$15</c:f>
              <c:numCache>
                <c:formatCode>;;;</c:formatCode>
                <c:ptCount val="4"/>
                <c:pt idx="0">
                  <c:v>4910.9867494059481</c:v>
                </c:pt>
                <c:pt idx="1">
                  <c:v>42370.575400739632</c:v>
                </c:pt>
                <c:pt idx="2">
                  <c:v>2526.3862637581819</c:v>
                </c:pt>
                <c:pt idx="3">
                  <c:v>20170.275896438143</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053D-4EDA-B783-48CBDEFEBF4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9EA4-4BA9-8E0A-806BF274FEC9}"/>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9EA4-4BA9-8E0A-806BF274FEC9}"/>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9EA4-4BA9-8E0A-806BF274FEC9}"/>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9EA4-4BA9-8E0A-806BF274FEC9}"/>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9EA4-4BA9-8E0A-806BF274FEC9}"/>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9EA4-4BA9-8E0A-806BF274FEC9}"/>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9EA4-4BA9-8E0A-806BF274FEC9}"/>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EA4-4BA9-8E0A-806BF274FEC9}"/>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EA4-4BA9-8E0A-806BF274FEC9}"/>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EA4-4BA9-8E0A-806BF274FEC9}"/>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EA4-4BA9-8E0A-806BF274FEC9}"/>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DISTRIBUTION'!$H$10,'VISITOR TYPE DISTRIBUTION'!$H$11)</c:f>
              <c:numCache>
                <c:formatCode>;;;</c:formatCode>
                <c:ptCount val="2"/>
                <c:pt idx="0">
                  <c:v>49807.948413903767</c:v>
                </c:pt>
                <c:pt idx="1">
                  <c:v>20170.275896438143</c:v>
                </c:pt>
              </c:numCache>
            </c:numRef>
          </c:val>
          <c:extLst>
            <c:ext xmlns:c16="http://schemas.microsoft.com/office/drawing/2014/chart" uri="{C3380CC4-5D6E-409C-BE32-E72D297353CC}">
              <c16:uniqueId val="{0000000C-9EA4-4BA9-8E0A-806BF274FEC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0403230197885015"/>
          <c:w val="0.54095371729888631"/>
          <c:h val="0.88213643937661324"/>
        </c:manualLayout>
      </c:layout>
      <c:doughnutChart>
        <c:varyColors val="1"/>
        <c:ser>
          <c:idx val="0"/>
          <c:order val="0"/>
          <c:tx>
            <c:strRef>
              <c:f>'COMPARATIVE HEADLINES'!$J$26</c:f>
              <c:strCache>
                <c:ptCount val="1"/>
                <c:pt idx="0">
                  <c:v>2022</c:v>
                </c:pt>
              </c:strCache>
            </c:strRef>
          </c:tx>
          <c:explosion val="2"/>
          <c:dPt>
            <c:idx val="0"/>
            <c:bubble3D val="0"/>
            <c:spPr>
              <a:solidFill>
                <a:schemeClr val="tx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39D-4959-994B-5C35D18F128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39D-4959-994B-5C35D18F1286}"/>
              </c:ext>
            </c:extLst>
          </c:dPt>
          <c:dPt>
            <c:idx val="2"/>
            <c:bubble3D val="0"/>
            <c:spPr>
              <a:solidFill>
                <a:schemeClr val="accent6">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539D-4959-994B-5C35D18F1286}"/>
              </c:ext>
            </c:extLst>
          </c:dPt>
          <c:dPt>
            <c:idx val="3"/>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539D-4959-994B-5C35D18F1286}"/>
              </c:ext>
            </c:extLst>
          </c:dPt>
          <c:dPt>
            <c:idx val="4"/>
            <c:bubble3D val="0"/>
            <c:spPr>
              <a:solidFill>
                <a:schemeClr val="accent4">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539D-4959-994B-5C35D18F1286}"/>
              </c:ext>
            </c:extLst>
          </c:dPt>
          <c:dPt>
            <c:idx val="5"/>
            <c:bubble3D val="0"/>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539D-4959-994B-5C35D18F1286}"/>
              </c:ext>
            </c:extLst>
          </c:dPt>
          <c:dLbls>
            <c:numFmt formatCode="0.0%" sourceLinked="0"/>
            <c:spPr>
              <a:noFill/>
              <a:ln>
                <a:noFill/>
              </a:ln>
              <a:effectLst/>
            </c:spPr>
            <c:txPr>
              <a:bodyPr rot="0" spcFirstLastPara="1" vertOverflow="overflow" horzOverflow="overflow" vert="horz" wrap="square" lIns="0" tIns="0" rIns="0" bIns="0" anchor="t" anchorCtr="0">
                <a:spAutoFit/>
              </a:bodyPr>
              <a:lstStyle/>
              <a:p>
                <a:pPr>
                  <a:defRPr sz="1000" b="1" i="0" u="none" strike="noStrike" kern="1200" baseline="0">
                    <a:solidFill>
                      <a:schemeClr val="lt1"/>
                    </a:solidFill>
                    <a:effectLst>
                      <a:outerShdw blurRad="457200" dir="6120000" algn="ctr" rotWithShape="0">
                        <a:schemeClr val="tx1"/>
                      </a:outerShdw>
                    </a:effectLst>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ext>
            </c:extLst>
          </c:dLbls>
          <c:cat>
            <c:strRef>
              <c:f>('COMPARATIVE HEADLINES'!$M$27:$O$31,'COMPARATIVE HEADLINES'!$M$33:$O$33)</c:f>
              <c:strCache>
                <c:ptCount val="6"/>
                <c:pt idx="0">
                  <c:v>Accommodation</c:v>
                </c:pt>
                <c:pt idx="1">
                  <c:v>Food &amp; Drink</c:v>
                </c:pt>
                <c:pt idx="2">
                  <c:v>Recreation</c:v>
                </c:pt>
                <c:pt idx="3">
                  <c:v>Shopping</c:v>
                </c:pt>
                <c:pt idx="4">
                  <c:v>Transport</c:v>
                </c:pt>
                <c:pt idx="5">
                  <c:v>Indirect</c:v>
                </c:pt>
              </c:strCache>
            </c:strRef>
          </c:cat>
          <c:val>
            <c:numRef>
              <c:f>('COMPARATIVE HEADLINES'!$J$27:$J$31,'COMPARATIVE HEADLINES'!$J$33)</c:f>
              <c:numCache>
                <c:formatCode>#,##0.00</c:formatCode>
                <c:ptCount val="6"/>
                <c:pt idx="0">
                  <c:v>0.7773065674556634</c:v>
                </c:pt>
                <c:pt idx="1">
                  <c:v>0.74947797253955994</c:v>
                </c:pt>
                <c:pt idx="2">
                  <c:v>0.24677118759282743</c:v>
                </c:pt>
                <c:pt idx="3">
                  <c:v>0.98267213847033852</c:v>
                </c:pt>
                <c:pt idx="4">
                  <c:v>0.33117756511660679</c:v>
                </c:pt>
                <c:pt idx="5">
                  <c:v>1.0707283299032251</c:v>
                </c:pt>
              </c:numCache>
            </c:numRef>
          </c:val>
          <c:extLst>
            <c:ext xmlns:c16="http://schemas.microsoft.com/office/drawing/2014/chart" uri="{C3380CC4-5D6E-409C-BE32-E72D297353CC}">
              <c16:uniqueId val="{0000000C-539D-4959-994B-5C35D18F128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l"/>
      <c:layout>
        <c:manualLayout>
          <c:xMode val="edge"/>
          <c:yMode val="edge"/>
          <c:x val="0.58100065416419422"/>
          <c:y val="2.8315962579366374E-2"/>
          <c:w val="0.41283003318238692"/>
          <c:h val="0.9433119874538502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chemeClr val="accent6">
                  <a:alpha val="40000"/>
                </a:scheme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1-5BEE-4959-88B5-87E36C255F7F}"/>
              </c:ext>
            </c:extLst>
          </c:dPt>
          <c:dPt>
            <c:idx val="1"/>
            <c:bubble3D val="0"/>
            <c:spPr>
              <a:solidFill>
                <a:schemeClr val="accent3">
                  <a:lumMod val="40000"/>
                  <a:lumOff val="60000"/>
                </a:schemeClr>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3-5BEE-4959-88B5-87E36C255F7F}"/>
              </c:ext>
            </c:extLst>
          </c:dPt>
          <c:dPt>
            <c:idx val="2"/>
            <c:bubble3D val="0"/>
            <c:spPr>
              <a:solidFill>
                <a:schemeClr val="accent3"/>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5-5BEE-4959-88B5-87E36C255F7F}"/>
              </c:ext>
            </c:extLst>
          </c:dPt>
          <c:dPt>
            <c:idx val="3"/>
            <c:bubble3D val="0"/>
            <c:spPr>
              <a:solidFill>
                <a:srgbClr val="FFFF00"/>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7-5BEE-4959-88B5-87E36C255F7F}"/>
              </c:ext>
            </c:extLst>
          </c:dPt>
          <c:dPt>
            <c:idx val="4"/>
            <c:bubble3D val="0"/>
            <c:spPr>
              <a:solidFill>
                <a:srgbClr val="FFFF00"/>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9-5BEE-4959-88B5-87E36C255F7F}"/>
              </c:ext>
            </c:extLst>
          </c:dPt>
          <c:dPt>
            <c:idx val="5"/>
            <c:bubble3D val="0"/>
            <c:spPr>
              <a:solidFill>
                <a:schemeClr val="accent6"/>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B-5BEE-4959-88B5-87E36C255F7F}"/>
              </c:ext>
            </c:extLst>
          </c:dPt>
          <c:dLbls>
            <c:dLbl>
              <c:idx val="0"/>
              <c:layout>
                <c:manualLayout>
                  <c:x val="-3.6074557873627323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EE-4959-88B5-87E36C255F7F}"/>
                </c:ext>
              </c:extLst>
            </c:dLbl>
            <c:dLbl>
              <c:idx val="2"/>
              <c:layout>
                <c:manualLayout>
                  <c:x val="2.4049705249084879E-2"/>
                  <c:y val="4.9751224291446593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EE-4959-88B5-87E36C255F7F}"/>
                </c:ext>
              </c:extLst>
            </c:dLbl>
            <c:dLbl>
              <c:idx val="3"/>
              <c:delete val="1"/>
              <c:extLst>
                <c:ext xmlns:c15="http://schemas.microsoft.com/office/drawing/2012/chart" uri="{CE6537A1-D6FC-4f65-9D91-7224C49458BB}"/>
                <c:ext xmlns:c16="http://schemas.microsoft.com/office/drawing/2014/chart" uri="{C3380CC4-5D6E-409C-BE32-E72D297353CC}">
                  <c16:uniqueId val="{00000007-5BEE-4959-88B5-87E36C255F7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'VISITOR TYPE DISTRIBUTION'!$J$12:$J$15</c:f>
              <c:numCache>
                <c:formatCode>;;;</c:formatCode>
                <c:ptCount val="4"/>
                <c:pt idx="0">
                  <c:v>7121.6929929497937</c:v>
                </c:pt>
                <c:pt idx="1">
                  <c:v>20380.186823764878</c:v>
                </c:pt>
                <c:pt idx="2">
                  <c:v>968.01424328614519</c:v>
                </c:pt>
                <c:pt idx="3">
                  <c:v>7595.3369263972563</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5BEE-4959-88B5-87E36C255F7F}"/>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D2CE-4997-9F6E-555479D893B8}"/>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D2CE-4997-9F6E-555479D893B8}"/>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D2CE-4997-9F6E-555479D893B8}"/>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D2CE-4997-9F6E-555479D893B8}"/>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D2CE-4997-9F6E-555479D893B8}"/>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D2CE-4997-9F6E-555479D893B8}"/>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D2CE-4997-9F6E-555479D893B8}"/>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2CE-4997-9F6E-555479D893B8}"/>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2CE-4997-9F6E-555479D893B8}"/>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2CE-4997-9F6E-555479D893B8}"/>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2CE-4997-9F6E-555479D893B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DISTRIBUTION'!$J$10,'VISITOR TYPE DISTRIBUTION'!$J$11)</c:f>
              <c:numCache>
                <c:formatCode>;;;</c:formatCode>
                <c:ptCount val="2"/>
                <c:pt idx="0">
                  <c:v>28469.894060000817</c:v>
                </c:pt>
                <c:pt idx="1">
                  <c:v>7595.3369263972563</c:v>
                </c:pt>
              </c:numCache>
            </c:numRef>
          </c:val>
          <c:extLst>
            <c:ext xmlns:c16="http://schemas.microsoft.com/office/drawing/2014/chart" uri="{C3380CC4-5D6E-409C-BE32-E72D297353CC}">
              <c16:uniqueId val="{0000000C-D2CE-4997-9F6E-555479D893B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DISTRIBUTION'!$E$44</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DISTRIBUTION'!$F$44:$Q$44</c:f>
              <c:numCache>
                <c:formatCode>#,##0.0</c:formatCode>
                <c:ptCount val="12"/>
                <c:pt idx="0">
                  <c:v>20235.931133327853</c:v>
                </c:pt>
                <c:pt idx="1">
                  <c:v>34494.389433044387</c:v>
                </c:pt>
                <c:pt idx="2">
                  <c:v>43839.604554249818</c:v>
                </c:pt>
                <c:pt idx="3">
                  <c:v>43602.224069591946</c:v>
                </c:pt>
                <c:pt idx="4">
                  <c:v>54048.837087252163</c:v>
                </c:pt>
                <c:pt idx="5">
                  <c:v>53515.297353189475</c:v>
                </c:pt>
                <c:pt idx="6">
                  <c:v>87670.543994229418</c:v>
                </c:pt>
                <c:pt idx="7">
                  <c:v>98109.400661880092</c:v>
                </c:pt>
                <c:pt idx="8">
                  <c:v>70225.656276472582</c:v>
                </c:pt>
                <c:pt idx="9">
                  <c:v>43446.584746621644</c:v>
                </c:pt>
                <c:pt idx="10">
                  <c:v>43655.52975325154</c:v>
                </c:pt>
                <c:pt idx="11">
                  <c:v>32160.613853000796</c:v>
                </c:pt>
              </c:numCache>
            </c:numRef>
          </c:val>
          <c:extLst>
            <c:ext xmlns:c16="http://schemas.microsoft.com/office/drawing/2014/chart" uri="{C3380CC4-5D6E-409C-BE32-E72D297353CC}">
              <c16:uniqueId val="{00000000-39AD-4B0F-BE10-517BC0C188C4}"/>
            </c:ext>
          </c:extLst>
        </c:ser>
        <c:ser>
          <c:idx val="1"/>
          <c:order val="1"/>
          <c:tx>
            <c:strRef>
              <c:f>'MONTHLY DISTRIBUTION'!$E$45</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DISTRIBUTION'!$F$45:$Q$45</c:f>
              <c:numCache>
                <c:formatCode>#,##0.0</c:formatCode>
                <c:ptCount val="12"/>
                <c:pt idx="0">
                  <c:v>67282.303953292489</c:v>
                </c:pt>
                <c:pt idx="1">
                  <c:v>81854.075772003867</c:v>
                </c:pt>
                <c:pt idx="2">
                  <c:v>210270.29251130344</c:v>
                </c:pt>
                <c:pt idx="3">
                  <c:v>223284.21609911244</c:v>
                </c:pt>
                <c:pt idx="4">
                  <c:v>241102.84261050803</c:v>
                </c:pt>
                <c:pt idx="5">
                  <c:v>264614.89669892145</c:v>
                </c:pt>
                <c:pt idx="6">
                  <c:v>330598.22514771699</c:v>
                </c:pt>
                <c:pt idx="7">
                  <c:v>329140.91064798617</c:v>
                </c:pt>
                <c:pt idx="8">
                  <c:v>261734.82150743291</c:v>
                </c:pt>
                <c:pt idx="9">
                  <c:v>216940.14164460445</c:v>
                </c:pt>
                <c:pt idx="10">
                  <c:v>104843.22717907769</c:v>
                </c:pt>
                <c:pt idx="11">
                  <c:v>83073.926105393271</c:v>
                </c:pt>
              </c:numCache>
            </c:numRef>
          </c:val>
          <c:extLst>
            <c:ext xmlns:c16="http://schemas.microsoft.com/office/drawing/2014/chart" uri="{C3380CC4-5D6E-409C-BE32-E72D297353CC}">
              <c16:uniqueId val="{00000001-39AD-4B0F-BE10-517BC0C188C4}"/>
            </c:ext>
          </c:extLst>
        </c:ser>
        <c:ser>
          <c:idx val="2"/>
          <c:order val="2"/>
          <c:tx>
            <c:strRef>
              <c:f>'MONTHLY DISTRIBUTION'!$E$46</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DISTRIBUTION'!$F$46:$Q$46</c:f>
              <c:numCache>
                <c:formatCode>#,##0.0</c:formatCode>
                <c:ptCount val="12"/>
                <c:pt idx="0">
                  <c:v>16430.262495534884</c:v>
                </c:pt>
                <c:pt idx="1">
                  <c:v>5520.5681984997218</c:v>
                </c:pt>
                <c:pt idx="2">
                  <c:v>6280.0114427377794</c:v>
                </c:pt>
                <c:pt idx="3">
                  <c:v>14984.399395927816</c:v>
                </c:pt>
                <c:pt idx="4">
                  <c:v>9639.087330713799</c:v>
                </c:pt>
                <c:pt idx="5">
                  <c:v>7425.1642269821259</c:v>
                </c:pt>
                <c:pt idx="6">
                  <c:v>12048.859163392252</c:v>
                </c:pt>
                <c:pt idx="7">
                  <c:v>12754.849286978168</c:v>
                </c:pt>
                <c:pt idx="8">
                  <c:v>6569.7828544479189</c:v>
                </c:pt>
                <c:pt idx="9">
                  <c:v>6563.3421915496683</c:v>
                </c:pt>
                <c:pt idx="10">
                  <c:v>5114.1930394434912</c:v>
                </c:pt>
                <c:pt idx="11">
                  <c:v>14809.143262642112</c:v>
                </c:pt>
              </c:numCache>
            </c:numRef>
          </c:val>
          <c:extLst>
            <c:ext xmlns:c16="http://schemas.microsoft.com/office/drawing/2014/chart" uri="{C3380CC4-5D6E-409C-BE32-E72D297353CC}">
              <c16:uniqueId val="{00000002-39AD-4B0F-BE10-517BC0C188C4}"/>
            </c:ext>
          </c:extLst>
        </c:ser>
        <c:ser>
          <c:idx val="3"/>
          <c:order val="3"/>
          <c:tx>
            <c:strRef>
              <c:f>'MONTHLY DISTRIBUTION'!$E$47</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DISTRIBUTION'!$F$47:$Q$47</c:f>
              <c:numCache>
                <c:formatCode>#,##0.0</c:formatCode>
                <c:ptCount val="12"/>
                <c:pt idx="0">
                  <c:v>27737.020344752826</c:v>
                </c:pt>
                <c:pt idx="1">
                  <c:v>31620.537413587364</c:v>
                </c:pt>
                <c:pt idx="2">
                  <c:v>70176.898656399659</c:v>
                </c:pt>
                <c:pt idx="3">
                  <c:v>96844.77872080708</c:v>
                </c:pt>
                <c:pt idx="4">
                  <c:v>94477.789214698103</c:v>
                </c:pt>
                <c:pt idx="5">
                  <c:v>114814.89975177284</c:v>
                </c:pt>
                <c:pt idx="6">
                  <c:v>149577.31011757368</c:v>
                </c:pt>
                <c:pt idx="7">
                  <c:v>189999.60784512528</c:v>
                </c:pt>
                <c:pt idx="8">
                  <c:v>90090.40273713661</c:v>
                </c:pt>
                <c:pt idx="9">
                  <c:v>74573.782799676657</c:v>
                </c:pt>
                <c:pt idx="10">
                  <c:v>37228.931628107581</c:v>
                </c:pt>
                <c:pt idx="11">
                  <c:v>23107.646166269238</c:v>
                </c:pt>
              </c:numCache>
            </c:numRef>
          </c:val>
          <c:extLst>
            <c:ext xmlns:c16="http://schemas.microsoft.com/office/drawing/2014/chart" uri="{C3380CC4-5D6E-409C-BE32-E72D297353CC}">
              <c16:uniqueId val="{00000003-39AD-4B0F-BE10-517BC0C188C4}"/>
            </c:ext>
          </c:extLst>
        </c:ser>
        <c:dLbls>
          <c:showLegendKey val="0"/>
          <c:showVal val="0"/>
          <c:showCatName val="0"/>
          <c:showSerName val="0"/>
          <c:showPercent val="0"/>
          <c:showBubbleSize val="0"/>
        </c:dLbls>
        <c:axId val="683539192"/>
        <c:axId val="683545464"/>
      </c:areaChart>
      <c:lineChart>
        <c:grouping val="standard"/>
        <c:varyColors val="0"/>
        <c:ser>
          <c:idx val="4"/>
          <c:order val="4"/>
          <c:tx>
            <c:v>All Visitors Monthly Totals</c:v>
          </c:tx>
          <c:spPr>
            <a:ln w="63500" cap="rnd">
              <a:solidFill>
                <a:schemeClr val="accent5"/>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chemeClr val="accent1">
                  <a:alpha val="75000"/>
                </a:scheme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DISTRIBUTION'!$F$61:$Q$61</c:f>
              <c:numCache>
                <c:formatCode>#,##0.00</c:formatCode>
                <c:ptCount val="12"/>
                <c:pt idx="0">
                  <c:v>131.68551792690806</c:v>
                </c:pt>
                <c:pt idx="1">
                  <c:v>153.48957081713533</c:v>
                </c:pt>
                <c:pt idx="2">
                  <c:v>330.56680716469072</c:v>
                </c:pt>
                <c:pt idx="3">
                  <c:v>378.71561828543935</c:v>
                </c:pt>
                <c:pt idx="4">
                  <c:v>399.2685562431721</c:v>
                </c:pt>
                <c:pt idx="5">
                  <c:v>440.37025803086584</c:v>
                </c:pt>
                <c:pt idx="6">
                  <c:v>579.89493842291233</c:v>
                </c:pt>
                <c:pt idx="7">
                  <c:v>630.00476844196965</c:v>
                </c:pt>
                <c:pt idx="8">
                  <c:v>428.62066337548998</c:v>
                </c:pt>
                <c:pt idx="9">
                  <c:v>341.52385138245234</c:v>
                </c:pt>
                <c:pt idx="10">
                  <c:v>190.84188159988025</c:v>
                </c:pt>
                <c:pt idx="11">
                  <c:v>153.15132938730542</c:v>
                </c:pt>
              </c:numCache>
            </c:numRef>
          </c:val>
          <c:smooth val="1"/>
          <c:extLst>
            <c:ext xmlns:c16="http://schemas.microsoft.com/office/drawing/2014/chart" uri="{C3380CC4-5D6E-409C-BE32-E72D297353CC}">
              <c16:uniqueId val="{00000004-39AD-4B0F-BE10-517BC0C188C4}"/>
            </c:ext>
          </c:extLst>
        </c:ser>
        <c:dLbls>
          <c:showLegendKey val="0"/>
          <c:showVal val="0"/>
          <c:showCatName val="0"/>
          <c:showSerName val="0"/>
          <c:showPercent val="0"/>
          <c:showBubbleSize val="0"/>
        </c:dLbls>
        <c:marker val="1"/>
        <c:smooth val="0"/>
        <c:axId val="683546640"/>
        <c:axId val="683542328"/>
      </c:lineChart>
      <c:catAx>
        <c:axId val="6835391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5464"/>
        <c:crosses val="autoZero"/>
        <c:auto val="1"/>
        <c:lblAlgn val="ctr"/>
        <c:lblOffset val="100"/>
        <c:noMultiLvlLbl val="0"/>
      </c:catAx>
      <c:valAx>
        <c:axId val="683545464"/>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9192"/>
        <c:crosses val="autoZero"/>
        <c:crossBetween val="between"/>
      </c:valAx>
      <c:valAx>
        <c:axId val="683542328"/>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46640"/>
        <c:crosses val="max"/>
        <c:crossBetween val="between"/>
      </c:valAx>
      <c:catAx>
        <c:axId val="683546640"/>
        <c:scaling>
          <c:orientation val="minMax"/>
        </c:scaling>
        <c:delete val="1"/>
        <c:axPos val="b"/>
        <c:numFmt formatCode="General" sourceLinked="1"/>
        <c:majorTickMark val="out"/>
        <c:minorTickMark val="none"/>
        <c:tickLblPos val="nextTo"/>
        <c:crossAx val="6835423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DISTRIBUTION'!$E$48</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DISTRIBUTION'!$F$48:$Q$48</c:f>
              <c:numCache>
                <c:formatCode>#,##0.0</c:formatCode>
                <c:ptCount val="12"/>
                <c:pt idx="0">
                  <c:v>115.11567281491692</c:v>
                </c:pt>
                <c:pt idx="1">
                  <c:v>199.64317299879326</c:v>
                </c:pt>
                <c:pt idx="2">
                  <c:v>185.35196038519544</c:v>
                </c:pt>
                <c:pt idx="3">
                  <c:v>213.6935484827253</c:v>
                </c:pt>
                <c:pt idx="4">
                  <c:v>259.47411774353372</c:v>
                </c:pt>
                <c:pt idx="5">
                  <c:v>269.68835290514608</c:v>
                </c:pt>
                <c:pt idx="6">
                  <c:v>322.94709763159756</c:v>
                </c:pt>
                <c:pt idx="7">
                  <c:v>355.15839498828808</c:v>
                </c:pt>
                <c:pt idx="8">
                  <c:v>228.26074056528725</c:v>
                </c:pt>
                <c:pt idx="9">
                  <c:v>223.2403299555134</c:v>
                </c:pt>
                <c:pt idx="10">
                  <c:v>224.18306178558447</c:v>
                </c:pt>
                <c:pt idx="11">
                  <c:v>172.14048244965781</c:v>
                </c:pt>
              </c:numCache>
            </c:numRef>
          </c:val>
          <c:extLst>
            <c:ext xmlns:c16="http://schemas.microsoft.com/office/drawing/2014/chart" uri="{C3380CC4-5D6E-409C-BE32-E72D297353CC}">
              <c16:uniqueId val="{00000000-AF34-4F39-A9F5-408CB8DE8C08}"/>
            </c:ext>
          </c:extLst>
        </c:ser>
        <c:ser>
          <c:idx val="1"/>
          <c:order val="1"/>
          <c:tx>
            <c:strRef>
              <c:f>'MONTHLY DISTRIBUTION'!$E$49</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DISTRIBUTION'!$F$49:$Q$49</c:f>
              <c:numCache>
                <c:formatCode>#,##0.0</c:formatCode>
                <c:ptCount val="12"/>
                <c:pt idx="0">
                  <c:v>301.36916695239006</c:v>
                </c:pt>
                <c:pt idx="1">
                  <c:v>311.25535634590642</c:v>
                </c:pt>
                <c:pt idx="2">
                  <c:v>798.44699977335677</c:v>
                </c:pt>
                <c:pt idx="3">
                  <c:v>658.40813391392169</c:v>
                </c:pt>
                <c:pt idx="4">
                  <c:v>674.7191199966536</c:v>
                </c:pt>
                <c:pt idx="5">
                  <c:v>721.74896963515289</c:v>
                </c:pt>
                <c:pt idx="6">
                  <c:v>839.2361205127313</c:v>
                </c:pt>
                <c:pt idx="7">
                  <c:v>784.82508010417882</c:v>
                </c:pt>
                <c:pt idx="8">
                  <c:v>653.48848570766779</c:v>
                </c:pt>
                <c:pt idx="9">
                  <c:v>597.38680128359965</c:v>
                </c:pt>
                <c:pt idx="10">
                  <c:v>393.91917902158679</c:v>
                </c:pt>
                <c:pt idx="11">
                  <c:v>229.23592281633557</c:v>
                </c:pt>
              </c:numCache>
            </c:numRef>
          </c:val>
          <c:extLst>
            <c:ext xmlns:c16="http://schemas.microsoft.com/office/drawing/2014/chart" uri="{C3380CC4-5D6E-409C-BE32-E72D297353CC}">
              <c16:uniqueId val="{00000001-AF34-4F39-A9F5-408CB8DE8C08}"/>
            </c:ext>
          </c:extLst>
        </c:ser>
        <c:ser>
          <c:idx val="2"/>
          <c:order val="2"/>
          <c:tx>
            <c:strRef>
              <c:f>'MONTHLY DISTRIBUTION'!$E$50</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DISTRIBUTION'!$F$50:$Q$50</c:f>
              <c:numCache>
                <c:formatCode>#,##0.0</c:formatCode>
                <c:ptCount val="12"/>
                <c:pt idx="0">
                  <c:v>140.54277272727271</c:v>
                </c:pt>
                <c:pt idx="1">
                  <c:v>56.217109090909084</c:v>
                </c:pt>
                <c:pt idx="2">
                  <c:v>62.463454545454553</c:v>
                </c:pt>
                <c:pt idx="3">
                  <c:v>118.68056363636363</c:v>
                </c:pt>
                <c:pt idx="4">
                  <c:v>93.695181818181808</c:v>
                </c:pt>
                <c:pt idx="5">
                  <c:v>75.612011727272716</c:v>
                </c:pt>
                <c:pt idx="6">
                  <c:v>103.0647</c:v>
                </c:pt>
                <c:pt idx="7">
                  <c:v>104.9073719090909</c:v>
                </c:pt>
                <c:pt idx="8">
                  <c:v>64.743370636363636</c:v>
                </c:pt>
                <c:pt idx="9">
                  <c:v>65.58662727272727</c:v>
                </c:pt>
                <c:pt idx="10">
                  <c:v>53.874729545454542</c:v>
                </c:pt>
                <c:pt idx="11">
                  <c:v>121.80373636363635</c:v>
                </c:pt>
              </c:numCache>
            </c:numRef>
          </c:val>
          <c:extLst>
            <c:ext xmlns:c16="http://schemas.microsoft.com/office/drawing/2014/chart" uri="{C3380CC4-5D6E-409C-BE32-E72D297353CC}">
              <c16:uniqueId val="{00000002-AF34-4F39-A9F5-408CB8DE8C08}"/>
            </c:ext>
          </c:extLst>
        </c:ser>
        <c:ser>
          <c:idx val="3"/>
          <c:order val="3"/>
          <c:tx>
            <c:strRef>
              <c:f>'MONTHLY DISTRIBUTION'!$E$51</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DISTRIBUTION'!$F$51:$Q$51</c:f>
              <c:numCache>
                <c:formatCode>#,##0.0</c:formatCode>
                <c:ptCount val="12"/>
                <c:pt idx="0">
                  <c:v>599.15083417819619</c:v>
                </c:pt>
                <c:pt idx="1">
                  <c:v>636.12632893522982</c:v>
                </c:pt>
                <c:pt idx="2">
                  <c:v>1468.1242162631584</c:v>
                </c:pt>
                <c:pt idx="3">
                  <c:v>1900.1354615571277</c:v>
                </c:pt>
                <c:pt idx="4">
                  <c:v>1869.5239423492781</c:v>
                </c:pt>
                <c:pt idx="5">
                  <c:v>2270.7273945563538</c:v>
                </c:pt>
                <c:pt idx="6">
                  <c:v>3000.0417692185865</c:v>
                </c:pt>
                <c:pt idx="7">
                  <c:v>3793.1113902652169</c:v>
                </c:pt>
                <c:pt idx="8">
                  <c:v>1799.0574652660462</c:v>
                </c:pt>
                <c:pt idx="9">
                  <c:v>1541.2672049294947</c:v>
                </c:pt>
                <c:pt idx="10">
                  <c:v>791.19923055943582</c:v>
                </c:pt>
                <c:pt idx="11">
                  <c:v>501.81065836001608</c:v>
                </c:pt>
              </c:numCache>
            </c:numRef>
          </c:val>
          <c:extLst>
            <c:ext xmlns:c16="http://schemas.microsoft.com/office/drawing/2014/chart" uri="{C3380CC4-5D6E-409C-BE32-E72D297353CC}">
              <c16:uniqueId val="{00000003-AF34-4F39-A9F5-408CB8DE8C08}"/>
            </c:ext>
          </c:extLst>
        </c:ser>
        <c:dLbls>
          <c:showLegendKey val="0"/>
          <c:showVal val="0"/>
          <c:showCatName val="0"/>
          <c:showSerName val="0"/>
          <c:showPercent val="0"/>
          <c:showBubbleSize val="0"/>
        </c:dLbls>
        <c:axId val="683548600"/>
        <c:axId val="683536840"/>
      </c:areaChart>
      <c:lineChart>
        <c:grouping val="standard"/>
        <c:varyColors val="0"/>
        <c:ser>
          <c:idx val="4"/>
          <c:order val="4"/>
          <c:tx>
            <c:v>All Visitors Monthly Totals</c:v>
          </c:tx>
          <c:spPr>
            <a:ln w="63500" cap="rnd">
              <a:solidFill>
                <a:srgbClr val="00B050"/>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rgbClr val="00B050">
                  <a:alpha val="75000"/>
                </a:srgb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DISTRIBUTION'!$F$62:$Q$62</c:f>
              <c:numCache>
                <c:formatCode>#,##0.00</c:formatCode>
                <c:ptCount val="12"/>
                <c:pt idx="0">
                  <c:v>1156.1784466727759</c:v>
                </c:pt>
                <c:pt idx="1">
                  <c:v>1203.2419673708387</c:v>
                </c:pt>
                <c:pt idx="2">
                  <c:v>2514.3866309671648</c:v>
                </c:pt>
                <c:pt idx="3">
                  <c:v>2890.9177075901384</c:v>
                </c:pt>
                <c:pt idx="4">
                  <c:v>2897.4123619076472</c:v>
                </c:pt>
                <c:pt idx="5">
                  <c:v>3337.7767288239256</c:v>
                </c:pt>
                <c:pt idx="6">
                  <c:v>4265.2896873629152</c:v>
                </c:pt>
                <c:pt idx="7">
                  <c:v>5038.0022372667745</c:v>
                </c:pt>
                <c:pt idx="8">
                  <c:v>2745.5500621753649</c:v>
                </c:pt>
                <c:pt idx="9">
                  <c:v>2427.480963441335</c:v>
                </c:pt>
                <c:pt idx="10">
                  <c:v>1463.1762009120616</c:v>
                </c:pt>
                <c:pt idx="11">
                  <c:v>1024.9907999896459</c:v>
                </c:pt>
              </c:numCache>
            </c:numRef>
          </c:val>
          <c:smooth val="1"/>
          <c:extLst>
            <c:ext xmlns:c16="http://schemas.microsoft.com/office/drawing/2014/chart" uri="{C3380CC4-5D6E-409C-BE32-E72D297353CC}">
              <c16:uniqueId val="{00000004-AF34-4F39-A9F5-408CB8DE8C08}"/>
            </c:ext>
          </c:extLst>
        </c:ser>
        <c:dLbls>
          <c:showLegendKey val="0"/>
          <c:showVal val="0"/>
          <c:showCatName val="0"/>
          <c:showSerName val="0"/>
          <c:showPercent val="0"/>
          <c:showBubbleSize val="0"/>
        </c:dLbls>
        <c:marker val="1"/>
        <c:smooth val="0"/>
        <c:axId val="683547816"/>
        <c:axId val="683544288"/>
      </c:lineChart>
      <c:catAx>
        <c:axId val="6835486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6840"/>
        <c:crosses val="autoZero"/>
        <c:auto val="1"/>
        <c:lblAlgn val="ctr"/>
        <c:lblOffset val="100"/>
        <c:noMultiLvlLbl val="0"/>
      </c:catAx>
      <c:valAx>
        <c:axId val="683536840"/>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8600"/>
        <c:crosses val="autoZero"/>
        <c:crossBetween val="between"/>
      </c:valAx>
      <c:valAx>
        <c:axId val="683544288"/>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47816"/>
        <c:crosses val="max"/>
        <c:crossBetween val="between"/>
      </c:valAx>
      <c:catAx>
        <c:axId val="683547816"/>
        <c:scaling>
          <c:orientation val="minMax"/>
        </c:scaling>
        <c:delete val="1"/>
        <c:axPos val="b"/>
        <c:numFmt formatCode="General" sourceLinked="1"/>
        <c:majorTickMark val="out"/>
        <c:minorTickMark val="none"/>
        <c:tickLblPos val="nextTo"/>
        <c:crossAx val="683544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DISTRIBUTION'!$E$56</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DISTRIBUTION'!$F$56:$Q$56</c:f>
              <c:numCache>
                <c:formatCode>#,##0</c:formatCode>
                <c:ptCount val="12"/>
                <c:pt idx="0">
                  <c:v>5445.6394067227111</c:v>
                </c:pt>
                <c:pt idx="1">
                  <c:v>6317.143364989136</c:v>
                </c:pt>
                <c:pt idx="2">
                  <c:v>7047.1562479974064</c:v>
                </c:pt>
                <c:pt idx="3">
                  <c:v>6967.8244038534303</c:v>
                </c:pt>
                <c:pt idx="4">
                  <c:v>7539.4294783702371</c:v>
                </c:pt>
                <c:pt idx="5">
                  <c:v>7418.8513853463137</c:v>
                </c:pt>
                <c:pt idx="6">
                  <c:v>8480.6859398265296</c:v>
                </c:pt>
                <c:pt idx="7">
                  <c:v>9043.5264163262691</c:v>
                </c:pt>
                <c:pt idx="8">
                  <c:v>7310.0868951301472</c:v>
                </c:pt>
                <c:pt idx="9">
                  <c:v>6950.5499979845317</c:v>
                </c:pt>
                <c:pt idx="10">
                  <c:v>6782.0600815344442</c:v>
                </c:pt>
                <c:pt idx="11">
                  <c:v>6157.3622973163519</c:v>
                </c:pt>
              </c:numCache>
            </c:numRef>
          </c:val>
          <c:extLst>
            <c:ext xmlns:c16="http://schemas.microsoft.com/office/drawing/2014/chart" uri="{C3380CC4-5D6E-409C-BE32-E72D297353CC}">
              <c16:uniqueId val="{00000000-7C0C-4408-BBC0-D926C947659E}"/>
            </c:ext>
          </c:extLst>
        </c:ser>
        <c:ser>
          <c:idx val="1"/>
          <c:order val="1"/>
          <c:tx>
            <c:strRef>
              <c:f>'MONTHLY DISTRIBUTION'!$E$57</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DISTRIBUTION'!$F$57:$Q$57</c:f>
              <c:numCache>
                <c:formatCode>#,##0</c:formatCode>
                <c:ptCount val="12"/>
                <c:pt idx="0">
                  <c:v>9854.3139231415425</c:v>
                </c:pt>
                <c:pt idx="1">
                  <c:v>12493.053772449242</c:v>
                </c:pt>
                <c:pt idx="2">
                  <c:v>22383.860503025571</c:v>
                </c:pt>
                <c:pt idx="3">
                  <c:v>22682.226624089824</c:v>
                </c:pt>
                <c:pt idx="4">
                  <c:v>24322.970485547801</c:v>
                </c:pt>
                <c:pt idx="5">
                  <c:v>26078.866633187052</c:v>
                </c:pt>
                <c:pt idx="6">
                  <c:v>29173.960148574814</c:v>
                </c:pt>
                <c:pt idx="7">
                  <c:v>29128.192602536361</c:v>
                </c:pt>
                <c:pt idx="8">
                  <c:v>23476.679533723353</c:v>
                </c:pt>
                <c:pt idx="9">
                  <c:v>22226.68922442948</c:v>
                </c:pt>
                <c:pt idx="10">
                  <c:v>12458.622510664536</c:v>
                </c:pt>
                <c:pt idx="11">
                  <c:v>10282.805923808959</c:v>
                </c:pt>
              </c:numCache>
            </c:numRef>
          </c:val>
          <c:extLst>
            <c:ext xmlns:c16="http://schemas.microsoft.com/office/drawing/2014/chart" uri="{C3380CC4-5D6E-409C-BE32-E72D297353CC}">
              <c16:uniqueId val="{00000001-7C0C-4408-BBC0-D926C947659E}"/>
            </c:ext>
          </c:extLst>
        </c:ser>
        <c:ser>
          <c:idx val="2"/>
          <c:order val="2"/>
          <c:tx>
            <c:strRef>
              <c:f>'MONTHLY DISTRIBUTION'!$E$58</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DISTRIBUTION'!$F$58:$Q$58</c:f>
              <c:numCache>
                <c:formatCode>#,##0</c:formatCode>
                <c:ptCount val="12"/>
                <c:pt idx="0">
                  <c:v>1649.7473280532504</c:v>
                </c:pt>
                <c:pt idx="1">
                  <c:v>554.31510222589213</c:v>
                </c:pt>
                <c:pt idx="2">
                  <c:v>630.57008983368689</c:v>
                </c:pt>
                <c:pt idx="3">
                  <c:v>1463.5502677645889</c:v>
                </c:pt>
                <c:pt idx="4">
                  <c:v>941.46508452692842</c:v>
                </c:pt>
                <c:pt idx="5">
                  <c:v>725.22767215808437</c:v>
                </c:pt>
                <c:pt idx="6">
                  <c:v>1176.8313556586606</c:v>
                </c:pt>
                <c:pt idx="7">
                  <c:v>1245.7865407890117</c:v>
                </c:pt>
                <c:pt idx="8">
                  <c:v>641.6812046798151</c:v>
                </c:pt>
                <c:pt idx="9">
                  <c:v>641.05213482788122</c:v>
                </c:pt>
                <c:pt idx="10">
                  <c:v>499.51141814275326</c:v>
                </c:pt>
                <c:pt idx="11">
                  <c:v>1446.4327207731901</c:v>
                </c:pt>
              </c:numCache>
            </c:numRef>
          </c:val>
          <c:extLst>
            <c:ext xmlns:c16="http://schemas.microsoft.com/office/drawing/2014/chart" uri="{C3380CC4-5D6E-409C-BE32-E72D297353CC}">
              <c16:uniqueId val="{00000002-7C0C-4408-BBC0-D926C947659E}"/>
            </c:ext>
          </c:extLst>
        </c:ser>
        <c:ser>
          <c:idx val="3"/>
          <c:order val="3"/>
          <c:tx>
            <c:strRef>
              <c:f>'MONTHLY DISTRIBUTION'!$E$59</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DISTRIBUTION'!$F$59:$Q$59</c:f>
              <c:numCache>
                <c:formatCode>#,##0</c:formatCode>
                <c:ptCount val="12"/>
                <c:pt idx="0">
                  <c:v>2599.8810555059758</c:v>
                </c:pt>
                <c:pt idx="1">
                  <c:v>2932.2503597449372</c:v>
                </c:pt>
                <c:pt idx="2">
                  <c:v>6545.6813375087177</c:v>
                </c:pt>
                <c:pt idx="3">
                  <c:v>8770.5181749797975</c:v>
                </c:pt>
                <c:pt idx="4">
                  <c:v>8564.9167521895106</c:v>
                </c:pt>
                <c:pt idx="5">
                  <c:v>10407.905748156694</c:v>
                </c:pt>
                <c:pt idx="6">
                  <c:v>13582.233009792802</c:v>
                </c:pt>
                <c:pt idx="7">
                  <c:v>17242.964509599733</c:v>
                </c:pt>
                <c:pt idx="8">
                  <c:v>8176.2244897574001</c:v>
                </c:pt>
                <c:pt idx="9">
                  <c:v>6796.8134798421006</c:v>
                </c:pt>
                <c:pt idx="10">
                  <c:v>3405.1669415317306</c:v>
                </c:pt>
                <c:pt idx="11">
                  <c:v>2119.4872581576842</c:v>
                </c:pt>
              </c:numCache>
            </c:numRef>
          </c:val>
          <c:extLst>
            <c:ext xmlns:c16="http://schemas.microsoft.com/office/drawing/2014/chart" uri="{C3380CC4-5D6E-409C-BE32-E72D297353CC}">
              <c16:uniqueId val="{00000003-7C0C-4408-BBC0-D926C947659E}"/>
            </c:ext>
          </c:extLst>
        </c:ser>
        <c:dLbls>
          <c:showLegendKey val="0"/>
          <c:showVal val="0"/>
          <c:showCatName val="0"/>
          <c:showSerName val="0"/>
          <c:showPercent val="0"/>
          <c:showBubbleSize val="0"/>
        </c:dLbls>
        <c:axId val="683548208"/>
        <c:axId val="683544680"/>
      </c:areaChart>
      <c:lineChart>
        <c:grouping val="standard"/>
        <c:varyColors val="0"/>
        <c:ser>
          <c:idx val="4"/>
          <c:order val="4"/>
          <c:tx>
            <c:v>All Visitors Monthly Totals</c:v>
          </c:tx>
          <c:spPr>
            <a:ln w="63500" cap="rnd">
              <a:solidFill>
                <a:schemeClr val="accent6"/>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chemeClr val="accent6">
                  <a:lumMod val="60000"/>
                  <a:lumOff val="40000"/>
                  <a:alpha val="75000"/>
                </a:schemeClr>
              </a:solidFill>
              <a:ln>
                <a:solidFill>
                  <a:schemeClr val="bg1"/>
                </a:solidFill>
              </a:ln>
              <a:effectLst/>
            </c:spPr>
            <c:txPr>
              <a:bodyPr rot="-5400000" spcFirstLastPara="1" vertOverflow="clip" horzOverflow="clip" vert="horz" wrap="square" lIns="72000" tIns="18360" rIns="108000" bIns="1836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DISTRIBUTION'!$F$64:$Q$64</c:f>
              <c:numCache>
                <c:formatCode>#,##0</c:formatCode>
                <c:ptCount val="12"/>
                <c:pt idx="0">
                  <c:v>23216.358962721341</c:v>
                </c:pt>
                <c:pt idx="1">
                  <c:v>26547.440818709798</c:v>
                </c:pt>
                <c:pt idx="2">
                  <c:v>45493.104387478845</c:v>
                </c:pt>
                <c:pt idx="3">
                  <c:v>49835.147344510406</c:v>
                </c:pt>
                <c:pt idx="4">
                  <c:v>51856.526508933239</c:v>
                </c:pt>
                <c:pt idx="5">
                  <c:v>56182.54704013656</c:v>
                </c:pt>
                <c:pt idx="6">
                  <c:v>67526.437189300443</c:v>
                </c:pt>
                <c:pt idx="7">
                  <c:v>73061.798111116252</c:v>
                </c:pt>
                <c:pt idx="8">
                  <c:v>50855.498891455223</c:v>
                </c:pt>
                <c:pt idx="9">
                  <c:v>45612.405359615164</c:v>
                </c:pt>
                <c:pt idx="10">
                  <c:v>28149.783728254421</c:v>
                </c:pt>
                <c:pt idx="11">
                  <c:v>24072.279677581053</c:v>
                </c:pt>
              </c:numCache>
            </c:numRef>
          </c:val>
          <c:smooth val="1"/>
          <c:extLst>
            <c:ext xmlns:c16="http://schemas.microsoft.com/office/drawing/2014/chart" uri="{C3380CC4-5D6E-409C-BE32-E72D297353CC}">
              <c16:uniqueId val="{00000004-7C0C-4408-BBC0-D926C947659E}"/>
            </c:ext>
          </c:extLst>
        </c:ser>
        <c:dLbls>
          <c:showLegendKey val="0"/>
          <c:showVal val="0"/>
          <c:showCatName val="0"/>
          <c:showSerName val="0"/>
          <c:showPercent val="0"/>
          <c:showBubbleSize val="0"/>
        </c:dLbls>
        <c:marker val="1"/>
        <c:smooth val="0"/>
        <c:axId val="683537624"/>
        <c:axId val="683545856"/>
      </c:lineChart>
      <c:catAx>
        <c:axId val="683548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4680"/>
        <c:crosses val="autoZero"/>
        <c:auto val="1"/>
        <c:lblAlgn val="ctr"/>
        <c:lblOffset val="100"/>
        <c:noMultiLvlLbl val="0"/>
      </c:catAx>
      <c:valAx>
        <c:axId val="683544680"/>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8208"/>
        <c:crosses val="autoZero"/>
        <c:crossBetween val="between"/>
      </c:valAx>
      <c:valAx>
        <c:axId val="683545856"/>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37624"/>
        <c:crosses val="max"/>
        <c:crossBetween val="between"/>
      </c:valAx>
      <c:catAx>
        <c:axId val="683537624"/>
        <c:scaling>
          <c:orientation val="minMax"/>
        </c:scaling>
        <c:delete val="1"/>
        <c:axPos val="b"/>
        <c:numFmt formatCode="General" sourceLinked="1"/>
        <c:majorTickMark val="out"/>
        <c:minorTickMark val="none"/>
        <c:tickLblPos val="nextTo"/>
        <c:crossAx val="6835458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DISTRIBUTION'!$E$52</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DISTRIBUTION'!$F$52:$Q$52</c:f>
              <c:numCache>
                <c:formatCode>#,##0.0</c:formatCode>
                <c:ptCount val="12"/>
                <c:pt idx="0">
                  <c:v>176.79427095881152</c:v>
                </c:pt>
                <c:pt idx="1">
                  <c:v>300.54478724717552</c:v>
                </c:pt>
                <c:pt idx="2">
                  <c:v>381.38220595552968</c:v>
                </c:pt>
                <c:pt idx="3">
                  <c:v>388.51786800331871</c:v>
                </c:pt>
                <c:pt idx="4">
                  <c:v>488.39307236226318</c:v>
                </c:pt>
                <c:pt idx="5">
                  <c:v>479.16599421588762</c:v>
                </c:pt>
                <c:pt idx="6">
                  <c:v>568.01512881050598</c:v>
                </c:pt>
                <c:pt idx="7">
                  <c:v>624.63947361009605</c:v>
                </c:pt>
                <c:pt idx="8" formatCode="0.0">
                  <c:v>449.07699906526136</c:v>
                </c:pt>
                <c:pt idx="9" formatCode="0.0">
                  <c:v>386.24229970562413</c:v>
                </c:pt>
                <c:pt idx="10" formatCode="0.0">
                  <c:v>385.99185105596325</c:v>
                </c:pt>
                <c:pt idx="11" formatCode="0.0">
                  <c:v>282.22279841551165</c:v>
                </c:pt>
              </c:numCache>
            </c:numRef>
          </c:val>
          <c:extLst>
            <c:ext xmlns:c16="http://schemas.microsoft.com/office/drawing/2014/chart" uri="{C3380CC4-5D6E-409C-BE32-E72D297353CC}">
              <c16:uniqueId val="{00000000-26A7-4677-BCB1-892DD739F69F}"/>
            </c:ext>
          </c:extLst>
        </c:ser>
        <c:ser>
          <c:idx val="1"/>
          <c:order val="1"/>
          <c:tx>
            <c:strRef>
              <c:f>'MONTHLY DISTRIBUTION'!$E$53</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DISTRIBUTION'!$F$53:$Q$53</c:f>
              <c:numCache>
                <c:formatCode>#,##0.0</c:formatCode>
                <c:ptCount val="12"/>
                <c:pt idx="0">
                  <c:v>1027.5849240072798</c:v>
                </c:pt>
                <c:pt idx="1">
                  <c:v>1240.7803372429066</c:v>
                </c:pt>
                <c:pt idx="2">
                  <c:v>3781.5533484508128</c:v>
                </c:pt>
                <c:pt idx="3">
                  <c:v>4084.3551255329503</c:v>
                </c:pt>
                <c:pt idx="4">
                  <c:v>4515.9094219132758</c:v>
                </c:pt>
                <c:pt idx="5">
                  <c:v>4900.0348326342028</c:v>
                </c:pt>
                <c:pt idx="6">
                  <c:v>5816.4349207583164</c:v>
                </c:pt>
                <c:pt idx="7">
                  <c:v>5826.4780521166495</c:v>
                </c:pt>
                <c:pt idx="8" formatCode="0.0">
                  <c:v>4307.6942435413639</c:v>
                </c:pt>
                <c:pt idx="9" formatCode="0.0">
                  <c:v>3991.1307083678939</c:v>
                </c:pt>
                <c:pt idx="10" formatCode="0.0">
                  <c:v>1697.9881136234599</c:v>
                </c:pt>
                <c:pt idx="11" formatCode="0.0">
                  <c:v>1180.631372550524</c:v>
                </c:pt>
              </c:numCache>
            </c:numRef>
          </c:val>
          <c:extLst>
            <c:ext xmlns:c16="http://schemas.microsoft.com/office/drawing/2014/chart" uri="{C3380CC4-5D6E-409C-BE32-E72D297353CC}">
              <c16:uniqueId val="{00000001-26A7-4677-BCB1-892DD739F69F}"/>
            </c:ext>
          </c:extLst>
        </c:ser>
        <c:ser>
          <c:idx val="2"/>
          <c:order val="2"/>
          <c:tx>
            <c:strRef>
              <c:f>'MONTHLY DISTRIBUTION'!$E$54</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DISTRIBUTION'!$F$54:$Q$54</c:f>
              <c:numCache>
                <c:formatCode>#,##0.0</c:formatCode>
                <c:ptCount val="12"/>
                <c:pt idx="0">
                  <c:v>351.35693181818181</c:v>
                </c:pt>
                <c:pt idx="1">
                  <c:v>118.05592909090907</c:v>
                </c:pt>
                <c:pt idx="2">
                  <c:v>134.29642727272727</c:v>
                </c:pt>
                <c:pt idx="3">
                  <c:v>320.43752181818178</c:v>
                </c:pt>
                <c:pt idx="4">
                  <c:v>206.1294</c:v>
                </c:pt>
                <c:pt idx="5">
                  <c:v>158.78522462727273</c:v>
                </c:pt>
                <c:pt idx="6">
                  <c:v>257.66174999999998</c:v>
                </c:pt>
                <c:pt idx="7">
                  <c:v>272.75916696363635</c:v>
                </c:pt>
                <c:pt idx="8" formatCode="0.0">
                  <c:v>140.49311428090908</c:v>
                </c:pt>
                <c:pt idx="9" formatCode="0.0">
                  <c:v>140.35538236363635</c:v>
                </c:pt>
                <c:pt idx="10" formatCode="0.0">
                  <c:v>109.36570097727271</c:v>
                </c:pt>
                <c:pt idx="11" formatCode="0.0">
                  <c:v>316.68971454545454</c:v>
                </c:pt>
              </c:numCache>
            </c:numRef>
          </c:val>
          <c:extLst>
            <c:ext xmlns:c16="http://schemas.microsoft.com/office/drawing/2014/chart" uri="{C3380CC4-5D6E-409C-BE32-E72D297353CC}">
              <c16:uniqueId val="{00000002-26A7-4677-BCB1-892DD739F69F}"/>
            </c:ext>
          </c:extLst>
        </c:ser>
        <c:ser>
          <c:idx val="3"/>
          <c:order val="3"/>
          <c:tx>
            <c:strRef>
              <c:f>'MONTHLY DISTRIBUTION'!$E$55</c:f>
              <c:strCache>
                <c:ptCount val="1"/>
                <c:pt idx="0">
                  <c:v>Day Visitor</c:v>
                </c:pt>
              </c:strCache>
            </c:strRef>
          </c:tx>
          <c:spPr>
            <a:solidFill>
              <a:srgbClr val="FFFF00"/>
            </a:solidFill>
            <a:ln>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DISTRIBUTION'!$F$55:$Q$55</c:f>
              <c:numCache>
                <c:formatCode>#,##0.0</c:formatCode>
                <c:ptCount val="12"/>
                <c:pt idx="0">
                  <c:v>599.15083417819619</c:v>
                </c:pt>
                <c:pt idx="1">
                  <c:v>636.12632893522982</c:v>
                </c:pt>
                <c:pt idx="2">
                  <c:v>1468.1242162631584</c:v>
                </c:pt>
                <c:pt idx="3">
                  <c:v>1900.1354615571277</c:v>
                </c:pt>
                <c:pt idx="4">
                  <c:v>1869.5239423492781</c:v>
                </c:pt>
                <c:pt idx="5">
                  <c:v>2270.7273945563538</c:v>
                </c:pt>
                <c:pt idx="6">
                  <c:v>3000.0417692185865</c:v>
                </c:pt>
                <c:pt idx="7">
                  <c:v>3793.1113902652169</c:v>
                </c:pt>
                <c:pt idx="8" formatCode="0.0">
                  <c:v>1799.0574652660462</c:v>
                </c:pt>
                <c:pt idx="9" formatCode="0.0">
                  <c:v>1541.2672049294947</c:v>
                </c:pt>
                <c:pt idx="10" formatCode="0.0">
                  <c:v>791.19923055943582</c:v>
                </c:pt>
                <c:pt idx="11" formatCode="0.0">
                  <c:v>501.81065836001608</c:v>
                </c:pt>
              </c:numCache>
            </c:numRef>
          </c:val>
          <c:extLst>
            <c:ext xmlns:c16="http://schemas.microsoft.com/office/drawing/2014/chart" uri="{C3380CC4-5D6E-409C-BE32-E72D297353CC}">
              <c16:uniqueId val="{00000003-26A7-4677-BCB1-892DD739F69F}"/>
            </c:ext>
          </c:extLst>
        </c:ser>
        <c:dLbls>
          <c:showLegendKey val="0"/>
          <c:showVal val="0"/>
          <c:showCatName val="0"/>
          <c:showSerName val="0"/>
          <c:showPercent val="0"/>
          <c:showBubbleSize val="0"/>
        </c:dLbls>
        <c:axId val="683538016"/>
        <c:axId val="683538408"/>
      </c:areaChart>
      <c:lineChart>
        <c:grouping val="standard"/>
        <c:varyColors val="0"/>
        <c:ser>
          <c:idx val="4"/>
          <c:order val="4"/>
          <c:tx>
            <c:v>All Visitors Monthly Totals</c:v>
          </c:tx>
          <c:spPr>
            <a:ln w="63500" cap="rnd">
              <a:solidFill>
                <a:srgbClr val="FF0000"/>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rgbClr val="FF0000">
                  <a:alpha val="75000"/>
                </a:srgb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DISTRIBUTION'!$F$63:$Q$63</c:f>
              <c:numCache>
                <c:formatCode>#,##0.00</c:formatCode>
                <c:ptCount val="12"/>
                <c:pt idx="0">
                  <c:v>2.154886960962469</c:v>
                </c:pt>
                <c:pt idx="1">
                  <c:v>2.2955073825162207</c:v>
                </c:pt>
                <c:pt idx="2">
                  <c:v>5.7653561979422285</c:v>
                </c:pt>
                <c:pt idx="3">
                  <c:v>6.6934459769115779</c:v>
                </c:pt>
                <c:pt idx="4">
                  <c:v>7.0799558366248165</c:v>
                </c:pt>
                <c:pt idx="5">
                  <c:v>7.8087134460337166</c:v>
                </c:pt>
                <c:pt idx="6">
                  <c:v>9.6421535687874087</c:v>
                </c:pt>
                <c:pt idx="7">
                  <c:v>10.516988082955599</c:v>
                </c:pt>
                <c:pt idx="8">
                  <c:v>6.696321822153581</c:v>
                </c:pt>
                <c:pt idx="9">
                  <c:v>6.0589955953666488</c:v>
                </c:pt>
                <c:pt idx="10">
                  <c:v>2.9845448962161316</c:v>
                </c:pt>
                <c:pt idx="11">
                  <c:v>2.2813545438715064</c:v>
                </c:pt>
              </c:numCache>
            </c:numRef>
          </c:val>
          <c:smooth val="1"/>
          <c:extLst>
            <c:ext xmlns:c16="http://schemas.microsoft.com/office/drawing/2014/chart" uri="{C3380CC4-5D6E-409C-BE32-E72D297353CC}">
              <c16:uniqueId val="{00000004-26A7-4677-BCB1-892DD739F69F}"/>
            </c:ext>
          </c:extLst>
        </c:ser>
        <c:dLbls>
          <c:showLegendKey val="0"/>
          <c:showVal val="0"/>
          <c:showCatName val="0"/>
          <c:showSerName val="0"/>
          <c:showPercent val="0"/>
          <c:showBubbleSize val="0"/>
        </c:dLbls>
        <c:marker val="1"/>
        <c:smooth val="0"/>
        <c:axId val="683541152"/>
        <c:axId val="683545072"/>
      </c:lineChart>
      <c:catAx>
        <c:axId val="6835380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8408"/>
        <c:crosses val="autoZero"/>
        <c:auto val="1"/>
        <c:lblAlgn val="ctr"/>
        <c:lblOffset val="100"/>
        <c:noMultiLvlLbl val="0"/>
      </c:catAx>
      <c:valAx>
        <c:axId val="683538408"/>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8016"/>
        <c:crosses val="autoZero"/>
        <c:crossBetween val="between"/>
      </c:valAx>
      <c:valAx>
        <c:axId val="683545072"/>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41152"/>
        <c:crosses val="max"/>
        <c:crossBetween val="between"/>
      </c:valAx>
      <c:catAx>
        <c:axId val="683541152"/>
        <c:scaling>
          <c:orientation val="minMax"/>
        </c:scaling>
        <c:delete val="1"/>
        <c:axPos val="b"/>
        <c:numFmt formatCode="General" sourceLinked="1"/>
        <c:majorTickMark val="out"/>
        <c:minorTickMark val="none"/>
        <c:tickLblPos val="nextTo"/>
        <c:crossAx val="6835450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84619273865554"/>
          <c:y val="3.5000141111393331E-2"/>
          <c:w val="0.69290818109492691"/>
          <c:h val="0.82557899174520288"/>
        </c:manualLayout>
      </c:layout>
      <c:barChart>
        <c:barDir val="col"/>
        <c:grouping val="clustered"/>
        <c:varyColors val="0"/>
        <c:ser>
          <c:idx val="4"/>
          <c:order val="0"/>
          <c:tx>
            <c:strRef>
              <c:f>'ECONOMIC IMPACT'!$E$30:$F$30</c:f>
              <c:strCache>
                <c:ptCount val="2"/>
                <c:pt idx="0">
                  <c:v>Total</c:v>
                </c:pt>
                <c:pt idx="1">
                  <c:v>£Bn</c:v>
                </c:pt>
              </c:strCache>
            </c:strRef>
          </c:tx>
          <c:spPr>
            <a:solidFill>
              <a:schemeClr val="accent1"/>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[0]!EIYEARS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[0]!EIVISTYPETOTAL</c:f>
              <c:numCache>
                <c:formatCode>#,##0.00</c:formatCode>
                <c:ptCount val="12"/>
                <c:pt idx="0">
                  <c:v>2.4415275306474036</c:v>
                </c:pt>
                <c:pt idx="1">
                  <c:v>2.4482126690505579</c:v>
                </c:pt>
                <c:pt idx="2">
                  <c:v>2.6385089007344336</c:v>
                </c:pt>
                <c:pt idx="3">
                  <c:v>2.7594638437864365</c:v>
                </c:pt>
                <c:pt idx="4">
                  <c:v>2.871776413328841</c:v>
                </c:pt>
                <c:pt idx="5">
                  <c:v>2.9629846166373599</c:v>
                </c:pt>
                <c:pt idx="6">
                  <c:v>3.1368222915790014</c:v>
                </c:pt>
                <c:pt idx="7">
                  <c:v>3.3949045727983007</c:v>
                </c:pt>
                <c:pt idx="8">
                  <c:v>3.6904026890544444</c:v>
                </c:pt>
                <c:pt idx="9">
                  <c:v>1.475550594973412</c:v>
                </c:pt>
                <c:pt idx="10">
                  <c:v>2.9826648623555125</c:v>
                </c:pt>
                <c:pt idx="11">
                  <c:v>4.1581337610782212</c:v>
                </c:pt>
              </c:numCache>
            </c:numRef>
          </c:val>
          <c:extLst>
            <c:ext xmlns:c16="http://schemas.microsoft.com/office/drawing/2014/chart" uri="{C3380CC4-5D6E-409C-BE32-E72D297353CC}">
              <c16:uniqueId val="{00000000-18D3-418E-AC99-A91926D51357}"/>
            </c:ext>
          </c:extLst>
        </c:ser>
        <c:dLbls>
          <c:showLegendKey val="0"/>
          <c:showVal val="0"/>
          <c:showCatName val="0"/>
          <c:showSerName val="0"/>
          <c:showPercent val="0"/>
          <c:showBubbleSize val="0"/>
        </c:dLbls>
        <c:gapWidth val="75"/>
        <c:axId val="683542720"/>
        <c:axId val="683541936"/>
      </c:barChart>
      <c:lineChart>
        <c:grouping val="standard"/>
        <c:varyColors val="0"/>
        <c:ser>
          <c:idx val="0"/>
          <c:order val="1"/>
          <c:tx>
            <c:strRef>
              <c:f>'ECONOMIC IMPACT'!$E$32:$F$32</c:f>
              <c:strCache>
                <c:ptCount val="2"/>
                <c:pt idx="0">
                  <c:v>Share of Total</c:v>
                </c:pt>
                <c:pt idx="1">
                  <c:v>%</c:v>
                </c:pt>
              </c:strCache>
            </c:strRef>
          </c:tx>
          <c:spPr>
            <a:ln w="47625" cap="rnd">
              <a:solidFill>
                <a:schemeClr val="tx1">
                  <a:lumMod val="65000"/>
                  <a:lumOff val="35000"/>
                </a:schemeClr>
              </a:solidFill>
              <a:prstDash val="sysDash"/>
              <a:round/>
            </a:ln>
            <a:effectLst/>
          </c:spPr>
          <c:marker>
            <c:symbol val="none"/>
          </c:marker>
          <c:cat>
            <c:numRef>
              <c:f>[0]!EIYEARS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18D3-418E-AC99-A91926D51357}"/>
            </c:ext>
          </c:extLst>
        </c:ser>
        <c:dLbls>
          <c:showLegendKey val="0"/>
          <c:showVal val="0"/>
          <c:showCatName val="0"/>
          <c:showSerName val="0"/>
          <c:showPercent val="0"/>
          <c:showBubbleSize val="0"/>
        </c:dLbls>
        <c:marker val="1"/>
        <c:smooth val="0"/>
        <c:axId val="683540760"/>
        <c:axId val="683539976"/>
      </c:lineChart>
      <c:valAx>
        <c:axId val="683539976"/>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83540760"/>
        <c:crosses val="max"/>
        <c:crossBetween val="between"/>
      </c:valAx>
      <c:catAx>
        <c:axId val="683540760"/>
        <c:scaling>
          <c:orientation val="minMax"/>
        </c:scaling>
        <c:delete val="1"/>
        <c:axPos val="b"/>
        <c:numFmt formatCode="0" sourceLinked="1"/>
        <c:majorTickMark val="out"/>
        <c:minorTickMark val="none"/>
        <c:tickLblPos val="nextTo"/>
        <c:crossAx val="683539976"/>
        <c:crosses val="autoZero"/>
        <c:auto val="1"/>
        <c:lblAlgn val="ctr"/>
        <c:lblOffset val="100"/>
        <c:noMultiLvlLbl val="0"/>
      </c:catAx>
      <c:valAx>
        <c:axId val="683541936"/>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83542720"/>
        <c:crosses val="autoZero"/>
        <c:crossBetween val="between"/>
      </c:valAx>
      <c:catAx>
        <c:axId val="683542720"/>
        <c:scaling>
          <c:orientation val="minMax"/>
        </c:scaling>
        <c:delete val="1"/>
        <c:axPos val="b"/>
        <c:numFmt formatCode="0" sourceLinked="1"/>
        <c:majorTickMark val="out"/>
        <c:minorTickMark val="none"/>
        <c:tickLblPos val="nextTo"/>
        <c:crossAx val="683541936"/>
        <c:crosses val="autoZero"/>
        <c:auto val="1"/>
        <c:lblAlgn val="ctr"/>
        <c:lblOffset val="100"/>
        <c:noMultiLvlLbl val="0"/>
      </c:catAx>
      <c:spPr>
        <a:gradFill flip="none" rotWithShape="1">
          <a:gsLst>
            <a:gs pos="0">
              <a:schemeClr val="accent1">
                <a:alpha val="42000"/>
                <a:lumMod val="4000"/>
                <a:lumOff val="96000"/>
              </a:schemeClr>
            </a:gs>
            <a:gs pos="39000">
              <a:schemeClr val="accent1">
                <a:lumMod val="45000"/>
                <a:lumOff val="55000"/>
                <a:alpha val="42000"/>
              </a:schemeClr>
            </a:gs>
            <a:gs pos="63000">
              <a:schemeClr val="accent1">
                <a:alpha val="62000"/>
                <a:lumMod val="82000"/>
              </a:schemeClr>
            </a:gs>
            <a:gs pos="100000">
              <a:schemeClr val="accent1">
                <a:alpha val="70000"/>
                <a:lumMod val="37000"/>
                <a:lumOff val="63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475430154564013"/>
          <c:y val="3.5000141111393331E-2"/>
          <c:w val="0.71539880431612712"/>
          <c:h val="0.82557899174520288"/>
        </c:manualLayout>
      </c:layout>
      <c:barChart>
        <c:barDir val="col"/>
        <c:grouping val="clustered"/>
        <c:varyColors val="0"/>
        <c:ser>
          <c:idx val="4"/>
          <c:order val="0"/>
          <c:tx>
            <c:strRef>
              <c:f>'VISITOR NUMBERS'!$E$30:$F$30</c:f>
              <c:strCache>
                <c:ptCount val="2"/>
                <c:pt idx="0">
                  <c:v>Total</c:v>
                </c:pt>
                <c:pt idx="1">
                  <c:v>M</c:v>
                </c:pt>
              </c:strCache>
            </c:strRef>
          </c:tx>
          <c:spPr>
            <a:solidFill>
              <a:srgbClr val="00B05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'VISITOR NUMBERS'!EIYEARS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NUMBERS'!EIVISTYPETOTAL</c:f>
              <c:numCache>
                <c:formatCode>#,##0.00</c:formatCode>
                <c:ptCount val="12"/>
                <c:pt idx="0">
                  <c:v>26.80605877468464</c:v>
                </c:pt>
                <c:pt idx="1">
                  <c:v>26.191413093371573</c:v>
                </c:pt>
                <c:pt idx="2">
                  <c:v>27.330431486189696</c:v>
                </c:pt>
                <c:pt idx="3">
                  <c:v>27.907745286445831</c:v>
                </c:pt>
                <c:pt idx="4">
                  <c:v>29.080643760629009</c:v>
                </c:pt>
                <c:pt idx="5">
                  <c:v>29.338668912541362</c:v>
                </c:pt>
                <c:pt idx="6">
                  <c:v>29.787983649901538</c:v>
                </c:pt>
                <c:pt idx="7">
                  <c:v>30.26468923316558</c:v>
                </c:pt>
                <c:pt idx="8">
                  <c:v>31.147267232898365</c:v>
                </c:pt>
                <c:pt idx="9">
                  <c:v>12.100624029401027</c:v>
                </c:pt>
                <c:pt idx="10">
                  <c:v>23.955184897555572</c:v>
                </c:pt>
                <c:pt idx="11">
                  <c:v>30.964403794480585</c:v>
                </c:pt>
              </c:numCache>
            </c:numRef>
          </c:val>
          <c:extLst>
            <c:ext xmlns:c16="http://schemas.microsoft.com/office/drawing/2014/chart" uri="{C3380CC4-5D6E-409C-BE32-E72D297353CC}">
              <c16:uniqueId val="{00000000-41CA-4704-A404-E1996530ED71}"/>
            </c:ext>
          </c:extLst>
        </c:ser>
        <c:dLbls>
          <c:showLegendKey val="0"/>
          <c:showVal val="0"/>
          <c:showCatName val="0"/>
          <c:showSerName val="0"/>
          <c:showPercent val="0"/>
          <c:showBubbleSize val="0"/>
        </c:dLbls>
        <c:gapWidth val="75"/>
        <c:axId val="735320368"/>
        <c:axId val="735319976"/>
      </c:barChart>
      <c:lineChart>
        <c:grouping val="standard"/>
        <c:varyColors val="0"/>
        <c:ser>
          <c:idx val="0"/>
          <c:order val="1"/>
          <c:tx>
            <c:strRef>
              <c:f>'VISITOR NUMBERS'!$E$32:$F$32</c:f>
              <c:strCache>
                <c:ptCount val="2"/>
                <c:pt idx="0">
                  <c:v>Share of Total</c:v>
                </c:pt>
                <c:pt idx="1">
                  <c:v>%</c:v>
                </c:pt>
              </c:strCache>
            </c:strRef>
          </c:tx>
          <c:spPr>
            <a:ln w="50800" cap="rnd">
              <a:solidFill>
                <a:schemeClr val="tx1">
                  <a:lumMod val="65000"/>
                  <a:lumOff val="35000"/>
                </a:schemeClr>
              </a:solidFill>
              <a:prstDash val="sysDash"/>
              <a:round/>
            </a:ln>
            <a:effectLst/>
          </c:spPr>
          <c:marker>
            <c:symbol val="none"/>
          </c:marker>
          <c:cat>
            <c:numRef>
              <c:f>'VISITOR NUMBERS'!EIYEARS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NUMBERS'!EISHAREOFTOTAL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41CA-4704-A404-E1996530ED71}"/>
            </c:ext>
          </c:extLst>
        </c:ser>
        <c:dLbls>
          <c:showLegendKey val="0"/>
          <c:showVal val="0"/>
          <c:showCatName val="0"/>
          <c:showSerName val="0"/>
          <c:showPercent val="0"/>
          <c:showBubbleSize val="0"/>
        </c:dLbls>
        <c:marker val="1"/>
        <c:smooth val="0"/>
        <c:axId val="735317624"/>
        <c:axId val="683546248"/>
      </c:lineChart>
      <c:valAx>
        <c:axId val="683546248"/>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17624"/>
        <c:crosses val="max"/>
        <c:crossBetween val="between"/>
      </c:valAx>
      <c:catAx>
        <c:axId val="735317624"/>
        <c:scaling>
          <c:orientation val="minMax"/>
        </c:scaling>
        <c:delete val="1"/>
        <c:axPos val="b"/>
        <c:numFmt formatCode="0" sourceLinked="1"/>
        <c:majorTickMark val="out"/>
        <c:minorTickMark val="none"/>
        <c:tickLblPos val="nextTo"/>
        <c:crossAx val="683546248"/>
        <c:crosses val="autoZero"/>
        <c:auto val="1"/>
        <c:lblAlgn val="ctr"/>
        <c:lblOffset val="100"/>
        <c:noMultiLvlLbl val="0"/>
      </c:catAx>
      <c:valAx>
        <c:axId val="735319976"/>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20368"/>
        <c:crosses val="autoZero"/>
        <c:crossBetween val="between"/>
      </c:valAx>
      <c:catAx>
        <c:axId val="735320368"/>
        <c:scaling>
          <c:orientation val="minMax"/>
        </c:scaling>
        <c:delete val="1"/>
        <c:axPos val="b"/>
        <c:numFmt formatCode="0" sourceLinked="1"/>
        <c:majorTickMark val="out"/>
        <c:minorTickMark val="none"/>
        <c:tickLblPos val="nextTo"/>
        <c:crossAx val="735319976"/>
        <c:crosses val="autoZero"/>
        <c:auto val="1"/>
        <c:lblAlgn val="ctr"/>
        <c:lblOffset val="100"/>
        <c:noMultiLvlLbl val="0"/>
      </c:catAx>
      <c:spPr>
        <a:gradFill flip="none" rotWithShape="1">
          <a:gsLst>
            <a:gs pos="0">
              <a:schemeClr val="accent3">
                <a:alpha val="13000"/>
                <a:lumMod val="0"/>
                <a:lumOff val="100000"/>
              </a:schemeClr>
            </a:gs>
            <a:gs pos="44000">
              <a:schemeClr val="accent3">
                <a:lumMod val="45000"/>
                <a:lumOff val="55000"/>
                <a:alpha val="93000"/>
              </a:schemeClr>
            </a:gs>
            <a:gs pos="70000">
              <a:schemeClr val="accent3">
                <a:lumMod val="75000"/>
                <a:alpha val="67000"/>
              </a:schemeClr>
            </a:gs>
            <a:gs pos="100000">
              <a:schemeClr val="accent3">
                <a:alpha val="67000"/>
                <a:lumMod val="18000"/>
                <a:lumOff val="82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549504228638088"/>
          <c:y val="3.5000141111393331E-2"/>
          <c:w val="0.72465806357538642"/>
          <c:h val="0.82557899174520288"/>
        </c:manualLayout>
      </c:layout>
      <c:barChart>
        <c:barDir val="col"/>
        <c:grouping val="clustered"/>
        <c:varyColors val="0"/>
        <c:ser>
          <c:idx val="4"/>
          <c:order val="0"/>
          <c:tx>
            <c:strRef>
              <c:f>'VISITOR DAYS'!$E$30:$F$30</c:f>
              <c:strCache>
                <c:ptCount val="2"/>
                <c:pt idx="0">
                  <c:v>Total</c:v>
                </c:pt>
                <c:pt idx="1">
                  <c:v>M</c:v>
                </c:pt>
              </c:strCache>
            </c:strRef>
          </c:tx>
          <c:spPr>
            <a:solidFill>
              <a:srgbClr val="FF0000"/>
            </a:solidFill>
            <a:ln w="3175">
              <a:solidFill>
                <a:schemeClr val="tx1">
                  <a:lumMod val="65000"/>
                  <a:lumOff val="35000"/>
                </a:schemeClr>
              </a:solidFill>
            </a:ln>
            <a:effectLst/>
          </c:spPr>
          <c:invertIfNegative val="0"/>
          <c:dLbls>
            <c:spPr>
              <a:noFill/>
              <a:ln>
                <a:noFill/>
              </a:ln>
              <a:effectLst/>
            </c:spPr>
            <c:txPr>
              <a:bodyPr rot="-5400000" vert="horz" wrap="square" lIns="38100" tIns="19050" rIns="38100" bIns="19050" anchor="ctr">
                <a:spAutoFit/>
              </a:bodyPr>
              <a:lstStyle/>
              <a:p>
                <a:pPr>
                  <a:defRPr b="1">
                    <a:solidFill>
                      <a:schemeClr val="bg1"/>
                    </a:solidFill>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'VISITOR DAYS'!EIYEARS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DAYS'!EIVISTYPETOTAL</c:f>
              <c:numCache>
                <c:formatCode>#,##0.00</c:formatCode>
                <c:ptCount val="12"/>
                <c:pt idx="0">
                  <c:v>60.344694689389542</c:v>
                </c:pt>
                <c:pt idx="1">
                  <c:v>58.478709478714649</c:v>
                </c:pt>
                <c:pt idx="2">
                  <c:v>61.211531576897045</c:v>
                </c:pt>
                <c:pt idx="3">
                  <c:v>62.274294890838938</c:v>
                </c:pt>
                <c:pt idx="4">
                  <c:v>63.874355948812322</c:v>
                </c:pt>
                <c:pt idx="5">
                  <c:v>64.696855086124785</c:v>
                </c:pt>
                <c:pt idx="6">
                  <c:v>66.707627274221522</c:v>
                </c:pt>
                <c:pt idx="7">
                  <c:v>67.928538411932593</c:v>
                </c:pt>
                <c:pt idx="8">
                  <c:v>69.972248432281134</c:v>
                </c:pt>
                <c:pt idx="9">
                  <c:v>26.014239586231906</c:v>
                </c:pt>
                <c:pt idx="10">
                  <c:v>52.885260520603339</c:v>
                </c:pt>
                <c:pt idx="11">
                  <c:v>69.978224310341901</c:v>
                </c:pt>
              </c:numCache>
            </c:numRef>
          </c:val>
          <c:extLst>
            <c:ext xmlns:c16="http://schemas.microsoft.com/office/drawing/2014/chart" uri="{C3380CC4-5D6E-409C-BE32-E72D297353CC}">
              <c16:uniqueId val="{00000000-E9CF-48D8-A2E2-297AAB4F6C38}"/>
            </c:ext>
          </c:extLst>
        </c:ser>
        <c:dLbls>
          <c:showLegendKey val="0"/>
          <c:showVal val="0"/>
          <c:showCatName val="0"/>
          <c:showSerName val="0"/>
          <c:showPercent val="0"/>
          <c:showBubbleSize val="0"/>
        </c:dLbls>
        <c:gapWidth val="75"/>
        <c:axId val="735321152"/>
        <c:axId val="735314488"/>
      </c:barChart>
      <c:lineChart>
        <c:grouping val="standard"/>
        <c:varyColors val="0"/>
        <c:ser>
          <c:idx val="0"/>
          <c:order val="1"/>
          <c:tx>
            <c:strRef>
              <c:f>'VISITOR DAYS'!$E$32:$F$32</c:f>
              <c:strCache>
                <c:ptCount val="2"/>
                <c:pt idx="0">
                  <c:v>Share of Total</c:v>
                </c:pt>
                <c:pt idx="1">
                  <c:v>%</c:v>
                </c:pt>
              </c:strCache>
            </c:strRef>
          </c:tx>
          <c:spPr>
            <a:ln w="50800" cap="rnd">
              <a:solidFill>
                <a:schemeClr val="accent1">
                  <a:lumMod val="75000"/>
                </a:schemeClr>
              </a:solidFill>
              <a:prstDash val="sysDash"/>
              <a:round/>
            </a:ln>
            <a:effectLst/>
          </c:spPr>
          <c:marker>
            <c:symbol val="none"/>
          </c:marker>
          <c:dPt>
            <c:idx val="1"/>
            <c:bubble3D val="0"/>
            <c:spPr>
              <a:ln w="50800" cap="rnd">
                <a:solidFill>
                  <a:schemeClr val="tx1">
                    <a:lumMod val="65000"/>
                    <a:lumOff val="35000"/>
                  </a:schemeClr>
                </a:solidFill>
                <a:prstDash val="sysDash"/>
                <a:round/>
              </a:ln>
              <a:effectLst/>
            </c:spPr>
            <c:extLst>
              <c:ext xmlns:c16="http://schemas.microsoft.com/office/drawing/2014/chart" uri="{C3380CC4-5D6E-409C-BE32-E72D297353CC}">
                <c16:uniqueId val="{00000002-E9CF-48D8-A2E2-297AAB4F6C38}"/>
              </c:ext>
            </c:extLst>
          </c:dPt>
          <c:dPt>
            <c:idx val="2"/>
            <c:bubble3D val="0"/>
            <c:spPr>
              <a:ln w="50800" cap="rnd">
                <a:solidFill>
                  <a:schemeClr val="tx1">
                    <a:lumMod val="65000"/>
                    <a:lumOff val="35000"/>
                  </a:schemeClr>
                </a:solidFill>
                <a:prstDash val="sysDash"/>
                <a:round/>
              </a:ln>
              <a:effectLst/>
            </c:spPr>
            <c:extLst>
              <c:ext xmlns:c16="http://schemas.microsoft.com/office/drawing/2014/chart" uri="{C3380CC4-5D6E-409C-BE32-E72D297353CC}">
                <c16:uniqueId val="{00000004-E9CF-48D8-A2E2-297AAB4F6C38}"/>
              </c:ext>
            </c:extLst>
          </c:dPt>
          <c:cat>
            <c:numRef>
              <c:f>'VISITOR DAYS'!EIYEARS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DAYS'!EISHAREOFTOTAL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5-E9CF-48D8-A2E2-297AAB4F6C38}"/>
            </c:ext>
          </c:extLst>
        </c:ser>
        <c:dLbls>
          <c:showLegendKey val="0"/>
          <c:showVal val="0"/>
          <c:showCatName val="0"/>
          <c:showSerName val="0"/>
          <c:showPercent val="0"/>
          <c:showBubbleSize val="0"/>
        </c:dLbls>
        <c:marker val="1"/>
        <c:smooth val="0"/>
        <c:axId val="735318016"/>
        <c:axId val="735315664"/>
      </c:lineChart>
      <c:valAx>
        <c:axId val="735315664"/>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18016"/>
        <c:crosses val="max"/>
        <c:crossBetween val="between"/>
      </c:valAx>
      <c:catAx>
        <c:axId val="735318016"/>
        <c:scaling>
          <c:orientation val="minMax"/>
        </c:scaling>
        <c:delete val="1"/>
        <c:axPos val="b"/>
        <c:numFmt formatCode="0" sourceLinked="1"/>
        <c:majorTickMark val="out"/>
        <c:minorTickMark val="none"/>
        <c:tickLblPos val="nextTo"/>
        <c:crossAx val="735315664"/>
        <c:crosses val="autoZero"/>
        <c:auto val="1"/>
        <c:lblAlgn val="ctr"/>
        <c:lblOffset val="100"/>
        <c:noMultiLvlLbl val="0"/>
      </c:catAx>
      <c:valAx>
        <c:axId val="735314488"/>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21152"/>
        <c:crosses val="autoZero"/>
        <c:crossBetween val="between"/>
      </c:valAx>
      <c:catAx>
        <c:axId val="735321152"/>
        <c:scaling>
          <c:orientation val="minMax"/>
        </c:scaling>
        <c:delete val="1"/>
        <c:axPos val="b"/>
        <c:numFmt formatCode="0" sourceLinked="1"/>
        <c:majorTickMark val="out"/>
        <c:minorTickMark val="none"/>
        <c:tickLblPos val="nextTo"/>
        <c:crossAx val="735314488"/>
        <c:crosses val="autoZero"/>
        <c:auto val="1"/>
        <c:lblAlgn val="ctr"/>
        <c:lblOffset val="100"/>
        <c:noMultiLvlLbl val="0"/>
      </c:catAx>
      <c:spPr>
        <a:gradFill>
          <a:gsLst>
            <a:gs pos="0">
              <a:schemeClr val="accent3">
                <a:alpha val="42000"/>
                <a:lumMod val="0"/>
                <a:lumOff val="100000"/>
              </a:schemeClr>
            </a:gs>
            <a:gs pos="38000">
              <a:schemeClr val="accent3">
                <a:lumMod val="45000"/>
                <a:lumOff val="55000"/>
                <a:alpha val="69000"/>
              </a:schemeClr>
            </a:gs>
            <a:gs pos="65000">
              <a:schemeClr val="accent6">
                <a:lumMod val="75000"/>
                <a:alpha val="52000"/>
              </a:schemeClr>
            </a:gs>
            <a:gs pos="100000">
              <a:schemeClr val="accent3">
                <a:lumMod val="30000"/>
                <a:lumOff val="70000"/>
                <a:alpha val="54000"/>
              </a:schemeClr>
            </a:gs>
          </a:gsLst>
          <a:lin ang="5400000" scaled="1"/>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651793525809273"/>
          <c:y val="3.5000141111393331E-2"/>
          <c:w val="0.72002843394575677"/>
          <c:h val="0.82557899174520288"/>
        </c:manualLayout>
      </c:layout>
      <c:barChart>
        <c:barDir val="col"/>
        <c:grouping val="clustered"/>
        <c:varyColors val="0"/>
        <c:ser>
          <c:idx val="4"/>
          <c:order val="0"/>
          <c:tx>
            <c:strRef>
              <c:f>EMPLOYMENT!$E$30:$F$30</c:f>
              <c:strCache>
                <c:ptCount val="2"/>
                <c:pt idx="0">
                  <c:v>Total</c:v>
                </c:pt>
                <c:pt idx="1">
                  <c:v>FTEs</c:v>
                </c:pt>
              </c:strCache>
            </c:strRef>
          </c:tx>
          <c:spPr>
            <a:solidFill>
              <a:srgbClr val="F79646"/>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EMPLOYMENT!EIYEARS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EMPLOYMENT!EIVISTYPETOTAL</c:f>
              <c:numCache>
                <c:formatCode>#,##0</c:formatCode>
                <c:ptCount val="12"/>
                <c:pt idx="0">
                  <c:v>41857.97052052401</c:v>
                </c:pt>
                <c:pt idx="1">
                  <c:v>40510.260920029345</c:v>
                </c:pt>
                <c:pt idx="2">
                  <c:v>42586.747621159833</c:v>
                </c:pt>
                <c:pt idx="3">
                  <c:v>40151.8673282405</c:v>
                </c:pt>
                <c:pt idx="4">
                  <c:v>42209.514072019476</c:v>
                </c:pt>
                <c:pt idx="5">
                  <c:v>42716.372619566493</c:v>
                </c:pt>
                <c:pt idx="6">
                  <c:v>43078.834951451223</c:v>
                </c:pt>
                <c:pt idx="7">
                  <c:v>44399.360517048823</c:v>
                </c:pt>
                <c:pt idx="8">
                  <c:v>46804.431472927427</c:v>
                </c:pt>
                <c:pt idx="9">
                  <c:v>22287.678606140249</c:v>
                </c:pt>
                <c:pt idx="10">
                  <c:v>35497.521450317676</c:v>
                </c:pt>
                <c:pt idx="11">
                  <c:v>45200.777334984399</c:v>
                </c:pt>
              </c:numCache>
            </c:numRef>
          </c:val>
          <c:extLst>
            <c:ext xmlns:c16="http://schemas.microsoft.com/office/drawing/2014/chart" uri="{C3380CC4-5D6E-409C-BE32-E72D297353CC}">
              <c16:uniqueId val="{00000000-0F92-4700-8F3B-969EC935A474}"/>
            </c:ext>
          </c:extLst>
        </c:ser>
        <c:dLbls>
          <c:showLegendKey val="0"/>
          <c:showVal val="0"/>
          <c:showCatName val="0"/>
          <c:showSerName val="0"/>
          <c:showPercent val="0"/>
          <c:showBubbleSize val="0"/>
        </c:dLbls>
        <c:gapWidth val="75"/>
        <c:axId val="735319192"/>
        <c:axId val="735318800"/>
      </c:barChart>
      <c:lineChart>
        <c:grouping val="standard"/>
        <c:varyColors val="0"/>
        <c:ser>
          <c:idx val="0"/>
          <c:order val="1"/>
          <c:tx>
            <c:v>Share of Total</c:v>
          </c:tx>
          <c:spPr>
            <a:ln w="50800" cap="rnd">
              <a:solidFill>
                <a:schemeClr val="tx1">
                  <a:lumMod val="65000"/>
                  <a:lumOff val="35000"/>
                </a:schemeClr>
              </a:solidFill>
              <a:prstDash val="sysDash"/>
              <a:round/>
            </a:ln>
            <a:effectLst/>
          </c:spPr>
          <c:marker>
            <c:symbol val="none"/>
          </c:marker>
          <c:cat>
            <c:numRef>
              <c:f>EMPLOYMENT!EIYEARS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EMPLOYMENT!EISHAREOFTOTAL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0F92-4700-8F3B-969EC935A474}"/>
            </c:ext>
          </c:extLst>
        </c:ser>
        <c:dLbls>
          <c:showLegendKey val="0"/>
          <c:showVal val="0"/>
          <c:showCatName val="0"/>
          <c:showSerName val="0"/>
          <c:showPercent val="0"/>
          <c:showBubbleSize val="0"/>
        </c:dLbls>
        <c:marker val="1"/>
        <c:smooth val="0"/>
        <c:axId val="735321544"/>
        <c:axId val="735314880"/>
      </c:lineChart>
      <c:valAx>
        <c:axId val="735314880"/>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21544"/>
        <c:crosses val="max"/>
        <c:crossBetween val="between"/>
      </c:valAx>
      <c:catAx>
        <c:axId val="735321544"/>
        <c:scaling>
          <c:orientation val="minMax"/>
        </c:scaling>
        <c:delete val="1"/>
        <c:axPos val="b"/>
        <c:numFmt formatCode="0" sourceLinked="1"/>
        <c:majorTickMark val="out"/>
        <c:minorTickMark val="none"/>
        <c:tickLblPos val="nextTo"/>
        <c:crossAx val="735314880"/>
        <c:crosses val="autoZero"/>
        <c:auto val="1"/>
        <c:lblAlgn val="ctr"/>
        <c:lblOffset val="100"/>
        <c:noMultiLvlLbl val="0"/>
      </c:catAx>
      <c:valAx>
        <c:axId val="735318800"/>
        <c:scaling>
          <c:orientation val="minMax"/>
          <c:min val="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19192"/>
        <c:crosses val="autoZero"/>
        <c:crossBetween val="between"/>
      </c:valAx>
      <c:catAx>
        <c:axId val="735319192"/>
        <c:scaling>
          <c:orientation val="minMax"/>
        </c:scaling>
        <c:delete val="1"/>
        <c:axPos val="b"/>
        <c:numFmt formatCode="0" sourceLinked="1"/>
        <c:majorTickMark val="out"/>
        <c:minorTickMark val="none"/>
        <c:tickLblPos val="nextTo"/>
        <c:crossAx val="735318800"/>
        <c:crosses val="autoZero"/>
        <c:auto val="1"/>
        <c:lblAlgn val="ctr"/>
        <c:lblOffset val="100"/>
        <c:noMultiLvlLbl val="0"/>
      </c:catAx>
      <c:spPr>
        <a:gradFill flip="none" rotWithShape="1">
          <a:gsLst>
            <a:gs pos="0">
              <a:schemeClr val="accent6">
                <a:lumMod val="0"/>
                <a:lumOff val="100000"/>
              </a:schemeClr>
            </a:gs>
            <a:gs pos="46000">
              <a:schemeClr val="accent6">
                <a:lumMod val="52000"/>
                <a:lumOff val="48000"/>
                <a:alpha val="44000"/>
              </a:schemeClr>
            </a:gs>
            <a:gs pos="74000">
              <a:schemeClr val="accent6">
                <a:lumMod val="89000"/>
                <a:lumOff val="11000"/>
              </a:schemeClr>
            </a:gs>
            <a:gs pos="100000">
              <a:schemeClr val="accent6">
                <a:lumMod val="30000"/>
                <a:lumOff val="70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768949103389388"/>
          <c:y val="0.1178765102709269"/>
          <c:w val="0.55161229174289461"/>
          <c:h val="0.88212348972907317"/>
        </c:manualLayout>
      </c:layout>
      <c:doughnutChart>
        <c:varyColors val="1"/>
        <c:ser>
          <c:idx val="0"/>
          <c:order val="0"/>
          <c:tx>
            <c:strRef>
              <c:f>'COMPARATIVE HEADLINES'!$P$26</c:f>
              <c:strCache>
                <c:ptCount val="1"/>
                <c:pt idx="0">
                  <c:v>2022</c:v>
                </c:pt>
              </c:strCache>
            </c:strRef>
          </c:tx>
          <c:spPr>
            <a:effectLst>
              <a:outerShdw blurRad="50800" dist="1104900" dir="2700000" algn="tl" rotWithShape="0">
                <a:schemeClr val="accent6">
                  <a:lumMod val="60000"/>
                  <a:lumOff val="40000"/>
                  <a:alpha val="7000"/>
                </a:schemeClr>
              </a:outerShdw>
            </a:effectLst>
          </c:spPr>
          <c:explosion val="2"/>
          <c:dPt>
            <c:idx val="0"/>
            <c:bubble3D val="0"/>
            <c:spPr>
              <a:solidFill>
                <a:schemeClr val="tx2"/>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1-F57A-46BA-AA1F-92002853843A}"/>
              </c:ext>
            </c:extLst>
          </c:dPt>
          <c:dPt>
            <c:idx val="1"/>
            <c:bubble3D val="0"/>
            <c:spPr>
              <a:solidFill>
                <a:schemeClr val="accent2"/>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3-F57A-46BA-AA1F-92002853843A}"/>
              </c:ext>
            </c:extLst>
          </c:dPt>
          <c:dPt>
            <c:idx val="2"/>
            <c:bubble3D val="0"/>
            <c:spPr>
              <a:solidFill>
                <a:schemeClr val="accent6">
                  <a:lumMod val="75000"/>
                </a:schemeClr>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5-F57A-46BA-AA1F-92002853843A}"/>
              </c:ext>
            </c:extLst>
          </c:dPt>
          <c:dPt>
            <c:idx val="3"/>
            <c:bubble3D val="0"/>
            <c:spPr>
              <a:solidFill>
                <a:schemeClr val="accent1"/>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7-F57A-46BA-AA1F-92002853843A}"/>
              </c:ext>
            </c:extLst>
          </c:dPt>
          <c:dPt>
            <c:idx val="4"/>
            <c:bubble3D val="0"/>
            <c:spPr>
              <a:solidFill>
                <a:schemeClr val="accent4">
                  <a:lumMod val="60000"/>
                  <a:lumOff val="40000"/>
                </a:schemeClr>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9-F57A-46BA-AA1F-92002853843A}"/>
              </c:ext>
            </c:extLst>
          </c:dPt>
          <c:dPt>
            <c:idx val="5"/>
            <c:bubble3D val="0"/>
            <c:spPr>
              <a:solidFill>
                <a:schemeClr val="accent3">
                  <a:lumMod val="75000"/>
                </a:schemeClr>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B-F57A-46BA-AA1F-92002853843A}"/>
              </c:ext>
            </c:extLst>
          </c:dPt>
          <c:dLbls>
            <c:numFmt formatCode="0.0%" sourceLinked="0"/>
            <c:spPr>
              <a:noFill/>
              <a:ln>
                <a:noFill/>
              </a:ln>
              <a:effectLst/>
            </c:spPr>
            <c:txPr>
              <a:bodyPr rot="0" spcFirstLastPara="1" vertOverflow="overflow" horzOverflow="overflow" vert="horz" wrap="square" lIns="0" tIns="0" rIns="0" bIns="0" anchor="t" anchorCtr="0">
                <a:spAutoFit/>
              </a:bodyPr>
              <a:lstStyle/>
              <a:p>
                <a:pPr>
                  <a:defRPr sz="1000" b="1" i="0" u="none" strike="noStrike" kern="1200" baseline="0">
                    <a:solidFill>
                      <a:schemeClr val="lt1"/>
                    </a:solidFill>
                    <a:effectLst>
                      <a:outerShdw blurRad="457200" dir="6120000" algn="ctr" rotWithShape="0">
                        <a:schemeClr val="tx1"/>
                      </a:outerShdw>
                    </a:effectLst>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ext>
            </c:extLst>
          </c:dLbls>
          <c:cat>
            <c:strRef>
              <c:f>('COMPARATIVE HEADLINES'!$M$27:$O$31,'COMPARATIVE HEADLINES'!$M$33)</c:f>
              <c:strCache>
                <c:ptCount val="6"/>
                <c:pt idx="0">
                  <c:v>Accommodation</c:v>
                </c:pt>
                <c:pt idx="1">
                  <c:v>Food &amp; Drink</c:v>
                </c:pt>
                <c:pt idx="2">
                  <c:v>Recreation</c:v>
                </c:pt>
                <c:pt idx="3">
                  <c:v>Shopping</c:v>
                </c:pt>
                <c:pt idx="4">
                  <c:v>Transport</c:v>
                </c:pt>
                <c:pt idx="5">
                  <c:v>Indirect</c:v>
                </c:pt>
              </c:strCache>
            </c:strRef>
          </c:cat>
          <c:val>
            <c:numRef>
              <c:f>('COMPARATIVE HEADLINES'!$P$27:$P$31,'COMPARATIVE HEADLINES'!$P$33)</c:f>
              <c:numCache>
                <c:formatCode>#,##0</c:formatCode>
                <c:ptCount val="6"/>
                <c:pt idx="0">
                  <c:v>11903.129862135786</c:v>
                </c:pt>
                <c:pt idx="1">
                  <c:v>9860.0029873510157</c:v>
                </c:pt>
                <c:pt idx="2">
                  <c:v>3001.110064732316</c:v>
                </c:pt>
                <c:pt idx="3">
                  <c:v>9720.1994201086927</c:v>
                </c:pt>
                <c:pt idx="4">
                  <c:v>1580.7886520702589</c:v>
                </c:pt>
                <c:pt idx="5">
                  <c:v>9135.5463485863365</c:v>
                </c:pt>
              </c:numCache>
            </c:numRef>
          </c:val>
          <c:extLst>
            <c:ext xmlns:c16="http://schemas.microsoft.com/office/drawing/2014/chart" uri="{C3380CC4-5D6E-409C-BE32-E72D297353CC}">
              <c16:uniqueId val="{0000000C-F57A-46BA-AA1F-92002853843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2.260643573841303E-2"/>
          <c:y val="3.6829461399969635E-2"/>
          <c:w val="0.37539942331801368"/>
          <c:h val="0.9402258085507906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'ACCOMMODATION SUPPLY'!$E$32</c:f>
          <c:strCache>
            <c:ptCount val="1"/>
            <c:pt idx="0">
              <c:v>SEASONAL AVAILABILITY OF BED SUPPLY
2022</c:v>
            </c:pt>
          </c:strCache>
        </c:strRef>
      </c:tx>
      <c:layout>
        <c:manualLayout>
          <c:xMode val="edge"/>
          <c:yMode val="edge"/>
          <c:x val="0.1841734470691164"/>
          <c:y val="1.3831258644536652E-2"/>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lumMod val="50000"/>
                  <a:lumOff val="50000"/>
                </a:schemeClr>
              </a:solidFill>
              <a:latin typeface="+mn-lt"/>
              <a:ea typeface="+mn-ea"/>
              <a:cs typeface="+mn-cs"/>
            </a:defRPr>
          </a:pPr>
          <a:endParaRPr lang="en-US"/>
        </a:p>
      </c:txPr>
    </c:title>
    <c:autoTitleDeleted val="0"/>
    <c:view3D>
      <c:rotX val="15"/>
      <c:rotY val="20"/>
      <c:depthPercent val="100"/>
      <c:rAngAx val="0"/>
    </c:view3D>
    <c:floor>
      <c:thickness val="0"/>
      <c:spPr>
        <a:solidFill>
          <a:schemeClr val="accent3">
            <a:lumMod val="60000"/>
            <a:lumOff val="40000"/>
          </a:schemeClr>
        </a:solidFill>
        <a:ln w="9525" cap="flat" cmpd="sng" algn="ctr">
          <a:solidFill>
            <a:schemeClr val="tx1">
              <a:lumMod val="15000"/>
              <a:lumOff val="85000"/>
            </a:schemeClr>
          </a:solidFill>
          <a:round/>
        </a:ln>
        <a:effectLst/>
        <a:scene3d>
          <a:camera prst="orthographicFront"/>
          <a:lightRig rig="threePt" dir="t"/>
        </a:scene3d>
        <a:sp3d contourW="9525">
          <a:bevelT h="95250"/>
          <a:contourClr>
            <a:schemeClr val="tx1">
              <a:lumMod val="15000"/>
              <a:lumOff val="85000"/>
            </a:schemeClr>
          </a:contourClr>
        </a:sp3d>
      </c:spPr>
    </c:floor>
    <c:sideWall>
      <c:thickness val="0"/>
      <c:spPr>
        <a:solidFill>
          <a:schemeClr val="accent3">
            <a:lumMod val="60000"/>
            <a:lumOff val="40000"/>
            <a:alpha val="15000"/>
          </a:schemeClr>
        </a:solidFill>
        <a:ln>
          <a:noFill/>
        </a:ln>
        <a:effectLst/>
        <a:sp3d/>
      </c:spPr>
    </c:sideWall>
    <c:backWall>
      <c:thickness val="0"/>
      <c:spPr>
        <a:solidFill>
          <a:schemeClr val="accent3">
            <a:lumMod val="60000"/>
            <a:lumOff val="40000"/>
            <a:alpha val="15000"/>
          </a:schemeClr>
        </a:solidFill>
        <a:ln>
          <a:noFill/>
        </a:ln>
        <a:effectLst/>
        <a:sp3d/>
      </c:spPr>
    </c:backWall>
    <c:plotArea>
      <c:layout>
        <c:manualLayout>
          <c:layoutTarget val="inner"/>
          <c:xMode val="edge"/>
          <c:yMode val="edge"/>
          <c:x val="7.3122703412073498E-2"/>
          <c:y val="0.21626556016597512"/>
          <c:w val="0.89632174103237094"/>
          <c:h val="0.71540301238278825"/>
        </c:manualLayout>
      </c:layout>
      <c:area3DChart>
        <c:grouping val="stacked"/>
        <c:varyColors val="0"/>
        <c:ser>
          <c:idx val="1"/>
          <c:order val="0"/>
          <c:tx>
            <c:strRef>
              <c:f>'ACCOMMODATION SUPPLY'!$E$36</c:f>
              <c:strCache>
                <c:ptCount val="1"/>
                <c:pt idx="0">
                  <c:v>Non-Serviced Accommodation</c:v>
                </c:pt>
              </c:strCache>
            </c:strRef>
          </c:tx>
          <c:spPr>
            <a:solidFill>
              <a:schemeClr val="accent3">
                <a:lumMod val="40000"/>
                <a:lumOff val="60000"/>
              </a:schemeClr>
            </a:solidFill>
            <a:ln w="25400">
              <a:noFill/>
            </a:ln>
            <a:effectLst/>
            <a:sp3d/>
          </c:spPr>
          <c:dLbls>
            <c:spPr>
              <a:noFill/>
              <a:ln>
                <a:noFill/>
              </a:ln>
              <a:effectLst/>
            </c:spPr>
            <c:txPr>
              <a:bodyPr rot="-5400000" spcFirstLastPara="1" vertOverflow="clip" horzOverflow="clip" vert="horz" wrap="square" lIns="0" tIns="0" rIns="0" bIns="0" anchor="b" anchorCtr="1">
                <a:spAutoFit/>
              </a:bodyPr>
              <a:lstStyle/>
              <a:p>
                <a:pPr>
                  <a:defRPr sz="1200" b="1" i="0" u="none" strike="noStrike" kern="1200" baseline="0">
                    <a:solidFill>
                      <a:schemeClr val="tx1">
                        <a:lumMod val="75000"/>
                        <a:lumOff val="25000"/>
                      </a:schemeClr>
                    </a:solidFill>
                    <a:effectLst>
                      <a:outerShdw blurRad="63500" sx="102000" sy="102000" algn="ctr" rotWithShape="0">
                        <a:schemeClr val="bg1">
                          <a:alpha val="75000"/>
                        </a:schemeClr>
                      </a:outerShdw>
                    </a:effectLst>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'ACCOMMODATION SUPPLY'!$I$33:$T$33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'ACCOMMODATION SUPPLY'!$I$36:$T$36</c:f>
              <c:numCache>
                <c:formatCode>#,##0</c:formatCode>
                <c:ptCount val="12"/>
                <c:pt idx="0">
                  <c:v>80859.259658539348</c:v>
                </c:pt>
                <c:pt idx="1">
                  <c:v>82384.183340939402</c:v>
                </c:pt>
                <c:pt idx="2">
                  <c:v>219975.68193417761</c:v>
                </c:pt>
                <c:pt idx="3">
                  <c:v>236601.32403351369</c:v>
                </c:pt>
                <c:pt idx="4">
                  <c:v>234802.52877730867</c:v>
                </c:pt>
                <c:pt idx="5">
                  <c:v>238186.33884987709</c:v>
                </c:pt>
                <c:pt idx="6">
                  <c:v>236904.00732419544</c:v>
                </c:pt>
                <c:pt idx="7">
                  <c:v>236565.25935054087</c:v>
                </c:pt>
                <c:pt idx="8">
                  <c:v>239020.55180380552</c:v>
                </c:pt>
                <c:pt idx="9">
                  <c:v>235136.36983496102</c:v>
                </c:pt>
                <c:pt idx="10">
                  <c:v>139788.05144773427</c:v>
                </c:pt>
                <c:pt idx="11">
                  <c:v>108303.02150799999</c:v>
                </c:pt>
              </c:numCache>
            </c:numRef>
          </c:val>
          <c:extLst>
            <c:ext xmlns:c16="http://schemas.microsoft.com/office/drawing/2014/chart" uri="{C3380CC4-5D6E-409C-BE32-E72D297353CC}">
              <c16:uniqueId val="{00000000-EFAF-4A06-819D-4A8842796163}"/>
            </c:ext>
          </c:extLst>
        </c:ser>
        <c:ser>
          <c:idx val="0"/>
          <c:order val="1"/>
          <c:tx>
            <c:strRef>
              <c:f>'ACCOMMODATION SUPPLY'!$E$35</c:f>
              <c:strCache>
                <c:ptCount val="1"/>
                <c:pt idx="0">
                  <c:v>Serviced Accommodation</c:v>
                </c:pt>
              </c:strCache>
            </c:strRef>
          </c:tx>
          <c:spPr>
            <a:solidFill>
              <a:schemeClr val="accent3">
                <a:lumMod val="20000"/>
                <a:lumOff val="80000"/>
              </a:schemeClr>
            </a:solidFill>
            <a:ln w="25400">
              <a:noFill/>
            </a:ln>
            <a:effectLst/>
            <a:sp3d/>
          </c:spPr>
          <c:dLbls>
            <c:spPr>
              <a:noFill/>
              <a:ln>
                <a:noFill/>
              </a:ln>
              <a:effectLst/>
            </c:spPr>
            <c:txPr>
              <a:bodyPr rot="-5400000" spcFirstLastPara="1" vertOverflow="ellipsis" vert="horz" wrap="square" lIns="0" tIns="0" rIns="0" bIns="0" anchor="ctr" anchorCtr="0">
                <a:spAutoFit/>
              </a:bodyPr>
              <a:lstStyle/>
              <a:p>
                <a:pPr algn="ctr">
                  <a:defRPr lang="en-GB" sz="1200" b="1" i="0" u="none" strike="noStrike" kern="1200" baseline="0">
                    <a:solidFill>
                      <a:schemeClr val="tx1">
                        <a:lumMod val="75000"/>
                        <a:lumOff val="25000"/>
                      </a:schemeClr>
                    </a:solidFill>
                    <a:effectLst>
                      <a:outerShdw blurRad="63500" sx="102000" sy="102000" algn="ctr" rotWithShape="0">
                        <a:schemeClr val="bg1">
                          <a:alpha val="75000"/>
                        </a:schemeClr>
                      </a:outerShdw>
                    </a:effectLst>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'ACCOMMODATION SUPPLY'!$I$33:$T$33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'ACCOMMODATION SUPPLY'!$I$35:$T$35</c:f>
              <c:numCache>
                <c:formatCode>#,##0</c:formatCode>
                <c:ptCount val="12"/>
                <c:pt idx="0">
                  <c:v>22455</c:v>
                </c:pt>
                <c:pt idx="1">
                  <c:v>23403</c:v>
                </c:pt>
                <c:pt idx="2">
                  <c:v>24347</c:v>
                </c:pt>
                <c:pt idx="3">
                  <c:v>24789</c:v>
                </c:pt>
                <c:pt idx="4">
                  <c:v>24781</c:v>
                </c:pt>
                <c:pt idx="5">
                  <c:v>24786</c:v>
                </c:pt>
                <c:pt idx="6">
                  <c:v>24806</c:v>
                </c:pt>
                <c:pt idx="7">
                  <c:v>24806</c:v>
                </c:pt>
                <c:pt idx="8">
                  <c:v>24786</c:v>
                </c:pt>
                <c:pt idx="9">
                  <c:v>24678</c:v>
                </c:pt>
                <c:pt idx="10">
                  <c:v>24109</c:v>
                </c:pt>
                <c:pt idx="11">
                  <c:v>23469</c:v>
                </c:pt>
              </c:numCache>
            </c:numRef>
          </c:val>
          <c:extLst>
            <c:ext xmlns:c16="http://schemas.microsoft.com/office/drawing/2014/chart" uri="{C3380CC4-5D6E-409C-BE32-E72D297353CC}">
              <c16:uniqueId val="{00000001-EFAF-4A06-819D-4A8842796163}"/>
            </c:ext>
          </c:extLst>
        </c:ser>
        <c:dLbls>
          <c:showLegendKey val="0"/>
          <c:showVal val="0"/>
          <c:showCatName val="0"/>
          <c:showSerName val="0"/>
          <c:showPercent val="0"/>
          <c:showBubbleSize val="0"/>
        </c:dLbls>
        <c:gapDepth val="500"/>
        <c:axId val="735292536"/>
        <c:axId val="735289400"/>
        <c:axId val="0"/>
      </c:area3DChart>
      <c:catAx>
        <c:axId val="7352925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5289400"/>
        <c:crosses val="autoZero"/>
        <c:auto val="1"/>
        <c:lblAlgn val="ctr"/>
        <c:lblOffset val="100"/>
        <c:noMultiLvlLbl val="0"/>
      </c:catAx>
      <c:valAx>
        <c:axId val="735289400"/>
        <c:scaling>
          <c:orientation val="minMax"/>
        </c:scaling>
        <c:delete val="0"/>
        <c:axPos val="l"/>
        <c:majorGridlines>
          <c:spPr>
            <a:ln w="9525" cap="flat" cmpd="sng" algn="ctr">
              <a:solidFill>
                <a:schemeClr val="tx1">
                  <a:lumMod val="15000"/>
                  <a:lumOff val="85000"/>
                </a:schemeClr>
              </a:solidFill>
              <a:round/>
            </a:ln>
            <a:effectLst/>
          </c:spPr>
        </c:majorGridlines>
        <c:title>
          <c:tx>
            <c:strRef>
              <c:f>'ACCOMMODATION SUPPLY'!$J$9</c:f>
              <c:strCache>
                <c:ptCount val="1"/>
                <c:pt idx="0">
                  <c:v>Beds</c:v>
                </c:pt>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5292536"/>
        <c:crosses val="autoZero"/>
        <c:crossBetween val="between"/>
      </c:valAx>
      <c:spPr>
        <a:noFill/>
        <a:ln>
          <a:noFill/>
        </a:ln>
        <a:effectLst/>
      </c:spPr>
    </c:plotArea>
    <c:legend>
      <c:legendPos val="b"/>
      <c:layout>
        <c:manualLayout>
          <c:xMode val="edge"/>
          <c:yMode val="edge"/>
          <c:x val="1.3888888888888888E-2"/>
          <c:y val="0.13057906143474804"/>
          <c:w val="0.98055555555555551"/>
          <c:h val="4.84192069352326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7180700773058"/>
          <c:y val="0.28449953890898771"/>
          <c:w val="0.56759249271923207"/>
          <c:h val="0.65155108162500097"/>
        </c:manualLayout>
      </c:layout>
      <c:radarChart>
        <c:radarStyle val="filled"/>
        <c:varyColors val="0"/>
        <c:ser>
          <c:idx val="0"/>
          <c:order val="0"/>
          <c:tx>
            <c:strRef>
              <c:f>'SECTORAL ANALYSIS'!$S$9</c:f>
              <c:strCache>
                <c:ptCount val="1"/>
                <c:pt idx="0">
                  <c:v>2022</c:v>
                </c:pt>
              </c:strCache>
            </c:strRef>
          </c:tx>
          <c:spPr>
            <a:solidFill>
              <a:schemeClr val="accent1">
                <a:alpha val="55000"/>
              </a:schemeClr>
            </a:solidFill>
            <a:ln w="25400">
              <a:solidFill>
                <a:schemeClr val="tx2">
                  <a:lumMod val="50000"/>
                  <a:alpha val="55000"/>
                </a:schemeClr>
              </a:solidFill>
            </a:ln>
            <a:effectLst/>
          </c:spPr>
          <c:dPt>
            <c:idx val="0"/>
            <c:bubble3D val="0"/>
            <c:extLst>
              <c:ext xmlns:c16="http://schemas.microsoft.com/office/drawing/2014/chart" uri="{C3380CC4-5D6E-409C-BE32-E72D297353CC}">
                <c16:uniqueId val="{00000000-AB63-4B36-B583-114EA2D27348}"/>
              </c:ext>
            </c:extLst>
          </c:dPt>
          <c:dPt>
            <c:idx val="1"/>
            <c:bubble3D val="0"/>
            <c:extLst>
              <c:ext xmlns:c16="http://schemas.microsoft.com/office/drawing/2014/chart" uri="{C3380CC4-5D6E-409C-BE32-E72D297353CC}">
                <c16:uniqueId val="{00000001-AB63-4B36-B583-114EA2D27348}"/>
              </c:ext>
            </c:extLst>
          </c:dPt>
          <c:dPt>
            <c:idx val="2"/>
            <c:bubble3D val="0"/>
            <c:extLst>
              <c:ext xmlns:c16="http://schemas.microsoft.com/office/drawing/2014/chart" uri="{C3380CC4-5D6E-409C-BE32-E72D297353CC}">
                <c16:uniqueId val="{00000002-AB63-4B36-B583-114EA2D27348}"/>
              </c:ext>
            </c:extLst>
          </c:dPt>
          <c:dPt>
            <c:idx val="3"/>
            <c:bubble3D val="0"/>
            <c:extLst>
              <c:ext xmlns:c16="http://schemas.microsoft.com/office/drawing/2014/chart" uri="{C3380CC4-5D6E-409C-BE32-E72D297353CC}">
                <c16:uniqueId val="{00000003-AB63-4B36-B583-114EA2D27348}"/>
              </c:ext>
            </c:extLst>
          </c:dPt>
          <c:dPt>
            <c:idx val="4"/>
            <c:bubble3D val="0"/>
            <c:extLst>
              <c:ext xmlns:c16="http://schemas.microsoft.com/office/drawing/2014/chart" uri="{C3380CC4-5D6E-409C-BE32-E72D297353CC}">
                <c16:uniqueId val="{00000004-AB63-4B36-B583-114EA2D27348}"/>
              </c:ext>
            </c:extLst>
          </c:dPt>
          <c:dPt>
            <c:idx val="5"/>
            <c:bubble3D val="0"/>
            <c:extLst>
              <c:ext xmlns:c16="http://schemas.microsoft.com/office/drawing/2014/chart" uri="{C3380CC4-5D6E-409C-BE32-E72D297353CC}">
                <c16:uniqueId val="{00000005-AB63-4B36-B583-114EA2D27348}"/>
              </c:ext>
            </c:extLst>
          </c:dPt>
          <c:dPt>
            <c:idx val="6"/>
            <c:bubble3D val="0"/>
            <c:extLst>
              <c:ext xmlns:c16="http://schemas.microsoft.com/office/drawing/2014/chart" uri="{C3380CC4-5D6E-409C-BE32-E72D297353CC}">
                <c16:uniqueId val="{00000006-AB63-4B36-B583-114EA2D27348}"/>
              </c:ext>
            </c:extLst>
          </c:dPt>
          <c:dLbls>
            <c:dLbl>
              <c:idx val="0"/>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AB63-4B36-B583-114EA2D27348}"/>
                </c:ext>
              </c:extLst>
            </c:dLbl>
            <c:dLbl>
              <c:idx val="1"/>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AB63-4B36-B583-114EA2D27348}"/>
                </c:ext>
              </c:extLst>
            </c:dLbl>
            <c:dLbl>
              <c:idx val="2"/>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AB63-4B36-B583-114EA2D27348}"/>
                </c:ext>
              </c:extLst>
            </c:dLbl>
            <c:dLbl>
              <c:idx val="4"/>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4">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AB63-4B36-B583-114EA2D27348}"/>
                </c:ext>
              </c:extLst>
            </c:dLbl>
            <c:dLbl>
              <c:idx val="5"/>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AB63-4B36-B583-114EA2D27348}"/>
                </c:ext>
              </c:extLst>
            </c:dLbl>
            <c:dLbl>
              <c:idx val="6"/>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3">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AB63-4B36-B583-114EA2D27348}"/>
                </c:ext>
              </c:extLst>
            </c:dLbl>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('SECTORAL ANALYSIS'!$E$10:$E$14,'SECTORAL ANALYSIS'!$E$16,'SECTORAL ANALYSIS'!$E$18)</c:f>
              <c:strCache>
                <c:ptCount val="7"/>
                <c:pt idx="0">
                  <c:v>Accommodation</c:v>
                </c:pt>
                <c:pt idx="1">
                  <c:v>Food &amp; Drink</c:v>
                </c:pt>
                <c:pt idx="2">
                  <c:v>Recreation</c:v>
                </c:pt>
                <c:pt idx="3">
                  <c:v>Shopping</c:v>
                </c:pt>
                <c:pt idx="4">
                  <c:v>Transport</c:v>
                </c:pt>
                <c:pt idx="5">
                  <c:v>VAT</c:v>
                </c:pt>
                <c:pt idx="6">
                  <c:v>Indirect Expenditure</c:v>
                </c:pt>
              </c:strCache>
            </c:strRef>
          </c:cat>
          <c:val>
            <c:numRef>
              <c:f>('SECTORAL ANALYSIS'!$S$10:$S$14,'SECTORAL ANALYSIS'!$S$16,'SECTORAL ANALYSIS'!$S$18)</c:f>
              <c:numCache>
                <c:formatCode>#,##0.0,</c:formatCode>
                <c:ptCount val="7"/>
                <c:pt idx="0">
                  <c:v>0.65087152464364517</c:v>
                </c:pt>
                <c:pt idx="1">
                  <c:v>0.6275694701389174</c:v>
                </c:pt>
                <c:pt idx="2">
                  <c:v>0.20663190796445691</c:v>
                </c:pt>
                <c:pt idx="3">
                  <c:v>0.82283276607913391</c:v>
                </c:pt>
                <c:pt idx="4">
                  <c:v>0.27730892257964984</c:v>
                </c:pt>
                <c:pt idx="5">
                  <c:v>0.50219083976919254</c:v>
                </c:pt>
                <c:pt idx="6">
                  <c:v>1.0707283299032258</c:v>
                </c:pt>
              </c:numCache>
            </c:numRef>
          </c:val>
          <c:extLst>
            <c:ext xmlns:c16="http://schemas.microsoft.com/office/drawing/2014/chart" uri="{C3380CC4-5D6E-409C-BE32-E72D297353CC}">
              <c16:uniqueId val="{00000007-AB63-4B36-B583-114EA2D27348}"/>
            </c:ext>
          </c:extLst>
        </c:ser>
        <c:dLbls>
          <c:showLegendKey val="0"/>
          <c:showVal val="0"/>
          <c:showCatName val="0"/>
          <c:showSerName val="0"/>
          <c:showPercent val="0"/>
          <c:showBubbleSize val="0"/>
        </c:dLbls>
        <c:axId val="735296848"/>
        <c:axId val="735299592"/>
      </c:radarChart>
      <c:catAx>
        <c:axId val="735296848"/>
        <c:scaling>
          <c:orientation val="minMax"/>
        </c:scaling>
        <c:delete val="0"/>
        <c:axPos val="b"/>
        <c:majorGridlines>
          <c:spPr>
            <a:ln w="9525" cap="flat" cmpd="sng" algn="ctr">
              <a:solidFill>
                <a:schemeClr val="lt1">
                  <a:alpha val="25000"/>
                </a:schemeClr>
              </a:solidFill>
              <a:round/>
            </a:ln>
            <a:effectLst/>
          </c:spPr>
        </c:majorGridlines>
        <c:numFmt formatCode="General" sourceLinked="1"/>
        <c:majorTickMark val="out"/>
        <c:minorTickMark val="none"/>
        <c:tickLblPos val="none"/>
        <c:spPr>
          <a:noFill/>
          <a:ln w="3175" cap="flat" cmpd="sng" algn="ctr">
            <a:solidFill>
              <a:schemeClr val="accent1">
                <a:lumMod val="60000"/>
                <a:lumOff val="40000"/>
              </a:schemeClr>
            </a:solidFill>
            <a:round/>
          </a:ln>
          <a:effectLst/>
        </c:spPr>
        <c:txPr>
          <a:bodyPr rot="0" spcFirstLastPara="1" vertOverflow="ellipsis"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735299592"/>
        <c:crosses val="autoZero"/>
        <c:auto val="1"/>
        <c:lblAlgn val="ctr"/>
        <c:lblOffset val="100"/>
        <c:noMultiLvlLbl val="0"/>
      </c:catAx>
      <c:valAx>
        <c:axId val="735299592"/>
        <c:scaling>
          <c:orientation val="minMax"/>
        </c:scaling>
        <c:delete val="1"/>
        <c:axPos val="l"/>
        <c:majorGridlines>
          <c:spPr>
            <a:ln w="25400" cap="flat" cmpd="sng" algn="ctr">
              <a:solidFill>
                <a:schemeClr val="bg1">
                  <a:lumMod val="65000"/>
                  <a:alpha val="35000"/>
                </a:schemeClr>
              </a:solidFill>
              <a:round/>
            </a:ln>
            <a:effectLst/>
          </c:spPr>
        </c:majorGridlines>
        <c:numFmt formatCode="#,##0.0," sourceLinked="1"/>
        <c:majorTickMark val="out"/>
        <c:minorTickMark val="none"/>
        <c:tickLblPos val="nextTo"/>
        <c:crossAx val="7352968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7180700773058"/>
          <c:y val="0.31603107044051931"/>
          <c:w val="0.56759249271923207"/>
          <c:h val="0.65155108162500097"/>
        </c:manualLayout>
      </c:layout>
      <c:radarChart>
        <c:radarStyle val="filled"/>
        <c:varyColors val="0"/>
        <c:ser>
          <c:idx val="0"/>
          <c:order val="0"/>
          <c:tx>
            <c:strRef>
              <c:f>'SECTORAL ANALYSIS'!$S$24</c:f>
              <c:strCache>
                <c:ptCount val="1"/>
                <c:pt idx="0">
                  <c:v>2022</c:v>
                </c:pt>
              </c:strCache>
            </c:strRef>
          </c:tx>
          <c:spPr>
            <a:solidFill>
              <a:schemeClr val="accent6">
                <a:lumMod val="40000"/>
                <a:lumOff val="60000"/>
                <a:alpha val="65000"/>
              </a:schemeClr>
            </a:solidFill>
            <a:ln w="25400" cmpd="sng">
              <a:solidFill>
                <a:schemeClr val="accent6">
                  <a:lumMod val="50000"/>
                  <a:alpha val="55000"/>
                </a:schemeClr>
              </a:solidFill>
            </a:ln>
            <a:effectLst>
              <a:outerShdw dist="25400" dir="2700000" algn="tl" rotWithShape="0">
                <a:schemeClr val="accent6">
                  <a:lumMod val="20000"/>
                  <a:lumOff val="80000"/>
                </a:schemeClr>
              </a:outerShdw>
            </a:effectLst>
          </c:spPr>
          <c:dPt>
            <c:idx val="0"/>
            <c:bubble3D val="0"/>
            <c:extLst>
              <c:ext xmlns:c16="http://schemas.microsoft.com/office/drawing/2014/chart" uri="{C3380CC4-5D6E-409C-BE32-E72D297353CC}">
                <c16:uniqueId val="{00000000-4C4D-4EB3-A1C8-A3BFD1F781F3}"/>
              </c:ext>
            </c:extLst>
          </c:dPt>
          <c:dPt>
            <c:idx val="1"/>
            <c:bubble3D val="0"/>
            <c:extLst>
              <c:ext xmlns:c16="http://schemas.microsoft.com/office/drawing/2014/chart" uri="{C3380CC4-5D6E-409C-BE32-E72D297353CC}">
                <c16:uniqueId val="{00000001-4C4D-4EB3-A1C8-A3BFD1F781F3}"/>
              </c:ext>
            </c:extLst>
          </c:dPt>
          <c:dPt>
            <c:idx val="2"/>
            <c:bubble3D val="0"/>
            <c:extLst>
              <c:ext xmlns:c16="http://schemas.microsoft.com/office/drawing/2014/chart" uri="{C3380CC4-5D6E-409C-BE32-E72D297353CC}">
                <c16:uniqueId val="{00000002-4C4D-4EB3-A1C8-A3BFD1F781F3}"/>
              </c:ext>
            </c:extLst>
          </c:dPt>
          <c:dPt>
            <c:idx val="3"/>
            <c:bubble3D val="0"/>
            <c:extLst>
              <c:ext xmlns:c16="http://schemas.microsoft.com/office/drawing/2014/chart" uri="{C3380CC4-5D6E-409C-BE32-E72D297353CC}">
                <c16:uniqueId val="{00000003-4C4D-4EB3-A1C8-A3BFD1F781F3}"/>
              </c:ext>
            </c:extLst>
          </c:dPt>
          <c:dPt>
            <c:idx val="4"/>
            <c:bubble3D val="0"/>
            <c:extLst>
              <c:ext xmlns:c16="http://schemas.microsoft.com/office/drawing/2014/chart" uri="{C3380CC4-5D6E-409C-BE32-E72D297353CC}">
                <c16:uniqueId val="{00000004-4C4D-4EB3-A1C8-A3BFD1F781F3}"/>
              </c:ext>
            </c:extLst>
          </c:dPt>
          <c:dPt>
            <c:idx val="5"/>
            <c:bubble3D val="0"/>
            <c:extLst>
              <c:ext xmlns:c16="http://schemas.microsoft.com/office/drawing/2014/chart" uri="{C3380CC4-5D6E-409C-BE32-E72D297353CC}">
                <c16:uniqueId val="{00000005-4C4D-4EB3-A1C8-A3BFD1F781F3}"/>
              </c:ext>
            </c:extLst>
          </c:dPt>
          <c:dPt>
            <c:idx val="6"/>
            <c:bubble3D val="0"/>
            <c:extLst>
              <c:ext xmlns:c16="http://schemas.microsoft.com/office/drawing/2014/chart" uri="{C3380CC4-5D6E-409C-BE32-E72D297353CC}">
                <c16:uniqueId val="{00000006-4C4D-4EB3-A1C8-A3BFD1F781F3}"/>
              </c:ext>
            </c:extLst>
          </c:dPt>
          <c:dLbls>
            <c:dLbl>
              <c:idx val="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4C4D-4EB3-A1C8-A3BFD1F781F3}"/>
                </c:ext>
              </c:extLst>
            </c:dLbl>
            <c:dLbl>
              <c:idx val="1"/>
              <c:layout>
                <c:manualLayout>
                  <c:x val="1.821493624772305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4D-4EB3-A1C8-A3BFD1F781F3}"/>
                </c:ext>
              </c:extLst>
            </c:dLbl>
            <c:dLbl>
              <c:idx val="2"/>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6">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C4D-4EB3-A1C8-A3BFD1F781F3}"/>
                </c:ext>
              </c:extLst>
            </c:dLbl>
            <c:dLbl>
              <c:idx val="3"/>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4C4D-4EB3-A1C8-A3BFD1F781F3}"/>
                </c:ext>
              </c:extLst>
            </c:dLbl>
            <c:dLbl>
              <c:idx val="4"/>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4">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4C4D-4EB3-A1C8-A3BFD1F781F3}"/>
                </c:ext>
              </c:extLst>
            </c:dLbl>
            <c:dLbl>
              <c:idx val="5"/>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3">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4C4D-4EB3-A1C8-A3BFD1F781F3}"/>
                </c:ext>
              </c:extLst>
            </c:dLbl>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('SECTORAL ANALYSIS'!$U$25:$U$29,'SECTORAL ANALYSIS'!$U$31)</c:f>
              <c:strCache>
                <c:ptCount val="6"/>
                <c:pt idx="0">
                  <c:v>Accommodation (26.3%)</c:v>
                </c:pt>
                <c:pt idx="1">
                  <c:v>Food &amp; Drink (21.8%)</c:v>
                </c:pt>
                <c:pt idx="2">
                  <c:v>Recreation (6.6%)</c:v>
                </c:pt>
                <c:pt idx="3">
                  <c:v>Shopping (21.5%)</c:v>
                </c:pt>
                <c:pt idx="4">
                  <c:v>Transport (3.5%)</c:v>
                </c:pt>
                <c:pt idx="5">
                  <c:v>Indirect Employment (20.2%)</c:v>
                </c:pt>
              </c:strCache>
            </c:strRef>
          </c:cat>
          <c:val>
            <c:numRef>
              <c:f>('SECTORAL ANALYSIS'!$S$25:$S$29,'SECTORAL ANALYSIS'!$S$31)</c:f>
              <c:numCache>
                <c:formatCode>#,##0</c:formatCode>
                <c:ptCount val="6"/>
                <c:pt idx="0">
                  <c:v>11903.129862135786</c:v>
                </c:pt>
                <c:pt idx="1">
                  <c:v>9860.0029873510157</c:v>
                </c:pt>
                <c:pt idx="2">
                  <c:v>3001.110064732316</c:v>
                </c:pt>
                <c:pt idx="3">
                  <c:v>9720.1994201086927</c:v>
                </c:pt>
                <c:pt idx="4">
                  <c:v>1580.7886520702589</c:v>
                </c:pt>
                <c:pt idx="5">
                  <c:v>9135.5463485863238</c:v>
                </c:pt>
              </c:numCache>
            </c:numRef>
          </c:val>
          <c:extLst>
            <c:ext xmlns:c16="http://schemas.microsoft.com/office/drawing/2014/chart" uri="{C3380CC4-5D6E-409C-BE32-E72D297353CC}">
              <c16:uniqueId val="{00000007-4C4D-4EB3-A1C8-A3BFD1F781F3}"/>
            </c:ext>
          </c:extLst>
        </c:ser>
        <c:dLbls>
          <c:showLegendKey val="0"/>
          <c:showVal val="0"/>
          <c:showCatName val="0"/>
          <c:showSerName val="0"/>
          <c:showPercent val="0"/>
          <c:showBubbleSize val="0"/>
        </c:dLbls>
        <c:axId val="735296456"/>
        <c:axId val="735290968"/>
      </c:radarChart>
      <c:catAx>
        <c:axId val="735296456"/>
        <c:scaling>
          <c:orientation val="minMax"/>
        </c:scaling>
        <c:delete val="0"/>
        <c:axPos val="b"/>
        <c:majorGridlines>
          <c:spPr>
            <a:ln w="9525" cap="flat" cmpd="sng" algn="ctr">
              <a:solidFill>
                <a:schemeClr val="lt1">
                  <a:alpha val="25000"/>
                </a:schemeClr>
              </a:solidFill>
              <a:round/>
            </a:ln>
            <a:effectLst/>
          </c:spPr>
        </c:majorGridlines>
        <c:numFmt formatCode="General" sourceLinked="1"/>
        <c:majorTickMark val="out"/>
        <c:minorTickMark val="none"/>
        <c:tickLblPos val="none"/>
        <c:spPr>
          <a:noFill/>
          <a:ln w="3175" cap="flat" cmpd="sng" algn="ctr">
            <a:solidFill>
              <a:schemeClr val="accent1">
                <a:lumMod val="60000"/>
                <a:lumOff val="40000"/>
              </a:schemeClr>
            </a:solidFill>
            <a:round/>
          </a:ln>
          <a:effectLst/>
        </c:spPr>
        <c:txPr>
          <a:bodyPr rot="0" spcFirstLastPara="1" vertOverflow="ellipsis"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735290968"/>
        <c:crosses val="autoZero"/>
        <c:auto val="1"/>
        <c:lblAlgn val="ctr"/>
        <c:lblOffset val="100"/>
        <c:noMultiLvlLbl val="0"/>
      </c:catAx>
      <c:valAx>
        <c:axId val="735290968"/>
        <c:scaling>
          <c:orientation val="minMax"/>
        </c:scaling>
        <c:delete val="1"/>
        <c:axPos val="l"/>
        <c:majorGridlines>
          <c:spPr>
            <a:ln w="25400" cap="flat" cmpd="sng" algn="ctr">
              <a:solidFill>
                <a:schemeClr val="bg1">
                  <a:lumMod val="65000"/>
                  <a:alpha val="35000"/>
                </a:schemeClr>
              </a:solidFill>
              <a:round/>
            </a:ln>
            <a:effectLst/>
          </c:spPr>
        </c:majorGridlines>
        <c:numFmt formatCode="#,##0" sourceLinked="1"/>
        <c:majorTickMark val="out"/>
        <c:minorTickMark val="none"/>
        <c:tickLblPos val="nextTo"/>
        <c:crossAx val="735296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B555-48AE-A558-C5DF1DD08700}"/>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HEADLINES'!$L$13</c:f>
              <c:numCache>
                <c:formatCode>0.0%</c:formatCode>
                <c:ptCount val="1"/>
                <c:pt idx="0">
                  <c:v>0.32168885894313082</c:v>
                </c:pt>
              </c:numCache>
            </c:numRef>
          </c:val>
          <c:extLst>
            <c:ext xmlns:c16="http://schemas.microsoft.com/office/drawing/2014/chart" uri="{C3380CC4-5D6E-409C-BE32-E72D297353CC}">
              <c16:uniqueId val="{00000001-B555-48AE-A558-C5DF1DD08700}"/>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B555-48AE-A558-C5DF1DD08700}"/>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HEADLINES'!$L$14</c:f>
              <c:numCache>
                <c:formatCode>0.0%</c:formatCode>
                <c:ptCount val="1"/>
                <c:pt idx="0">
                  <c:v>0.41261222554280685</c:v>
                </c:pt>
              </c:numCache>
            </c:numRef>
          </c:val>
          <c:extLst>
            <c:ext xmlns:c16="http://schemas.microsoft.com/office/drawing/2014/chart" uri="{C3380CC4-5D6E-409C-BE32-E72D297353CC}">
              <c16:uniqueId val="{00000003-B555-48AE-A558-C5DF1DD08700}"/>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B555-48AE-A558-C5DF1DD08700}"/>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HEADLINES'!$L$16</c:f>
              <c:numCache>
                <c:formatCode>0.0%</c:formatCode>
                <c:ptCount val="1"/>
                <c:pt idx="0">
                  <c:v>0.30326109591912331</c:v>
                </c:pt>
              </c:numCache>
            </c:numRef>
          </c:val>
          <c:extLst>
            <c:ext xmlns:c16="http://schemas.microsoft.com/office/drawing/2014/chart" uri="{C3380CC4-5D6E-409C-BE32-E72D297353CC}">
              <c16:uniqueId val="{00000005-B555-48AE-A558-C5DF1DD08700}"/>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HEADLINES'!$L$17</c:f>
              <c:numCache>
                <c:formatCode>0.0%</c:formatCode>
                <c:ptCount val="1"/>
                <c:pt idx="0">
                  <c:v>0.1973071358354912</c:v>
                </c:pt>
              </c:numCache>
            </c:numRef>
          </c:val>
          <c:extLst>
            <c:ext xmlns:c16="http://schemas.microsoft.com/office/drawing/2014/chart" uri="{C3380CC4-5D6E-409C-BE32-E72D297353CC}">
              <c16:uniqueId val="{00000006-B555-48AE-A558-C5DF1DD08700}"/>
            </c:ext>
          </c:extLst>
        </c:ser>
        <c:dLbls>
          <c:dLblPos val="outEnd"/>
          <c:showLegendKey val="0"/>
          <c:showVal val="1"/>
          <c:showCatName val="0"/>
          <c:showSerName val="0"/>
          <c:showPercent val="0"/>
          <c:showBubbleSize val="0"/>
        </c:dLbls>
        <c:gapWidth val="0"/>
        <c:overlap val="10"/>
        <c:axId val="683552128"/>
        <c:axId val="683556440"/>
      </c:barChart>
      <c:catAx>
        <c:axId val="683552128"/>
        <c:scaling>
          <c:orientation val="minMax"/>
        </c:scaling>
        <c:delete val="1"/>
        <c:axPos val="b"/>
        <c:majorTickMark val="none"/>
        <c:minorTickMark val="none"/>
        <c:tickLblPos val="nextTo"/>
        <c:crossAx val="683556440"/>
        <c:crosses val="autoZero"/>
        <c:auto val="1"/>
        <c:lblAlgn val="ctr"/>
        <c:lblOffset val="100"/>
        <c:noMultiLvlLbl val="0"/>
      </c:catAx>
      <c:valAx>
        <c:axId val="683556440"/>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2128"/>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D478-4DB6-B9D4-3CAE5873D6CD}"/>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HEADLINES'!$O$13</c:f>
              <c:numCache>
                <c:formatCode>0.0%</c:formatCode>
                <c:ptCount val="1"/>
                <c:pt idx="0">
                  <c:v>2.7670105499419555</c:v>
                </c:pt>
              </c:numCache>
            </c:numRef>
          </c:val>
          <c:extLst>
            <c:ext xmlns:c16="http://schemas.microsoft.com/office/drawing/2014/chart" uri="{C3380CC4-5D6E-409C-BE32-E72D297353CC}">
              <c16:uniqueId val="{00000001-D478-4DB6-B9D4-3CAE5873D6CD}"/>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D478-4DB6-B9D4-3CAE5873D6CD}"/>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HEADLINES'!$O$14</c:f>
              <c:numCache>
                <c:formatCode>0.0%</c:formatCode>
                <c:ptCount val="1"/>
                <c:pt idx="0">
                  <c:v>2.78450347123787</c:v>
                </c:pt>
              </c:numCache>
            </c:numRef>
          </c:val>
          <c:extLst>
            <c:ext xmlns:c16="http://schemas.microsoft.com/office/drawing/2014/chart" uri="{C3380CC4-5D6E-409C-BE32-E72D297353CC}">
              <c16:uniqueId val="{00000003-D478-4DB6-B9D4-3CAE5873D6CD}"/>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D478-4DB6-B9D4-3CAE5873D6CD}"/>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HEADLINES'!$O$16</c:f>
              <c:numCache>
                <c:formatCode>0.0%</c:formatCode>
                <c:ptCount val="1"/>
                <c:pt idx="0">
                  <c:v>3.0717314037614161</c:v>
                </c:pt>
              </c:numCache>
            </c:numRef>
          </c:val>
          <c:extLst>
            <c:ext xmlns:c16="http://schemas.microsoft.com/office/drawing/2014/chart" uri="{C3380CC4-5D6E-409C-BE32-E72D297353CC}">
              <c16:uniqueId val="{00000005-D478-4DB6-B9D4-3CAE5873D6CD}"/>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HEADLINES'!$O$17</c:f>
              <c:numCache>
                <c:formatCode>0.0%</c:formatCode>
                <c:ptCount val="1"/>
                <c:pt idx="0">
                  <c:v>2.5671413274556993</c:v>
                </c:pt>
              </c:numCache>
            </c:numRef>
          </c:val>
          <c:extLst>
            <c:ext xmlns:c16="http://schemas.microsoft.com/office/drawing/2014/chart" uri="{C3380CC4-5D6E-409C-BE32-E72D297353CC}">
              <c16:uniqueId val="{00000006-D478-4DB6-B9D4-3CAE5873D6CD}"/>
            </c:ext>
          </c:extLst>
        </c:ser>
        <c:dLbls>
          <c:dLblPos val="outEnd"/>
          <c:showLegendKey val="0"/>
          <c:showVal val="1"/>
          <c:showCatName val="0"/>
          <c:showSerName val="0"/>
          <c:showPercent val="0"/>
          <c:showBubbleSize val="0"/>
        </c:dLbls>
        <c:gapWidth val="0"/>
        <c:overlap val="10"/>
        <c:axId val="683553696"/>
        <c:axId val="683554088"/>
      </c:barChart>
      <c:catAx>
        <c:axId val="683553696"/>
        <c:scaling>
          <c:orientation val="minMax"/>
        </c:scaling>
        <c:delete val="1"/>
        <c:axPos val="b"/>
        <c:majorTickMark val="none"/>
        <c:minorTickMark val="none"/>
        <c:tickLblPos val="nextTo"/>
        <c:crossAx val="683554088"/>
        <c:crosses val="autoZero"/>
        <c:auto val="1"/>
        <c:lblAlgn val="ctr"/>
        <c:lblOffset val="100"/>
        <c:noMultiLvlLbl val="0"/>
      </c:catAx>
      <c:valAx>
        <c:axId val="683554088"/>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3696"/>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924D-4921-912C-2A39E5F34D5B}"/>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HEADLINES'!$R$13</c:f>
              <c:numCache>
                <c:formatCode>0.0%</c:formatCode>
                <c:ptCount val="1"/>
                <c:pt idx="0">
                  <c:v>0.38470736884798673</c:v>
                </c:pt>
              </c:numCache>
            </c:numRef>
          </c:val>
          <c:extLst>
            <c:ext xmlns:c16="http://schemas.microsoft.com/office/drawing/2014/chart" uri="{C3380CC4-5D6E-409C-BE32-E72D297353CC}">
              <c16:uniqueId val="{00000001-924D-4921-912C-2A39E5F34D5B}"/>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924D-4921-912C-2A39E5F34D5B}"/>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HEADLINES'!$R$14</c:f>
              <c:numCache>
                <c:formatCode>0.0%</c:formatCode>
                <c:ptCount val="1"/>
                <c:pt idx="0">
                  <c:v>0.53326944303443247</c:v>
                </c:pt>
              </c:numCache>
            </c:numRef>
          </c:val>
          <c:extLst>
            <c:ext xmlns:c16="http://schemas.microsoft.com/office/drawing/2014/chart" uri="{C3380CC4-5D6E-409C-BE32-E72D297353CC}">
              <c16:uniqueId val="{00000003-924D-4921-912C-2A39E5F34D5B}"/>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924D-4921-912C-2A39E5F34D5B}"/>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HEADLINES'!$R$16</c:f>
              <c:numCache>
                <c:formatCode>0.0%</c:formatCode>
                <c:ptCount val="1"/>
                <c:pt idx="0">
                  <c:v>0.37546550695076153</c:v>
                </c:pt>
              </c:numCache>
            </c:numRef>
          </c:val>
          <c:extLst>
            <c:ext xmlns:c16="http://schemas.microsoft.com/office/drawing/2014/chart" uri="{C3380CC4-5D6E-409C-BE32-E72D297353CC}">
              <c16:uniqueId val="{00000005-924D-4921-912C-2A39E5F34D5B}"/>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HEADLINES'!$R$17</c:f>
              <c:numCache>
                <c:formatCode>0.0%</c:formatCode>
                <c:ptCount val="1"/>
                <c:pt idx="0">
                  <c:v>0.28910254159182558</c:v>
                </c:pt>
              </c:numCache>
            </c:numRef>
          </c:val>
          <c:extLst>
            <c:ext xmlns:c16="http://schemas.microsoft.com/office/drawing/2014/chart" uri="{C3380CC4-5D6E-409C-BE32-E72D297353CC}">
              <c16:uniqueId val="{00000006-924D-4921-912C-2A39E5F34D5B}"/>
            </c:ext>
          </c:extLst>
        </c:ser>
        <c:dLbls>
          <c:dLblPos val="outEnd"/>
          <c:showLegendKey val="0"/>
          <c:showVal val="1"/>
          <c:showCatName val="0"/>
          <c:showSerName val="0"/>
          <c:showPercent val="0"/>
          <c:showBubbleSize val="0"/>
        </c:dLbls>
        <c:gapWidth val="0"/>
        <c:overlap val="10"/>
        <c:axId val="683558792"/>
        <c:axId val="683555264"/>
      </c:barChart>
      <c:catAx>
        <c:axId val="683558792"/>
        <c:scaling>
          <c:orientation val="minMax"/>
        </c:scaling>
        <c:delete val="1"/>
        <c:axPos val="b"/>
        <c:majorTickMark val="none"/>
        <c:minorTickMark val="none"/>
        <c:tickLblPos val="nextTo"/>
        <c:crossAx val="683555264"/>
        <c:crosses val="autoZero"/>
        <c:auto val="1"/>
        <c:lblAlgn val="ctr"/>
        <c:lblOffset val="100"/>
        <c:noMultiLvlLbl val="0"/>
      </c:catAx>
      <c:valAx>
        <c:axId val="683555264"/>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8792"/>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9AF5-4C13-A384-2EBEE9B0B37B}"/>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HEADLINES'!$U$13</c:f>
              <c:numCache>
                <c:formatCode>0.0%</c:formatCode>
                <c:ptCount val="1"/>
                <c:pt idx="0">
                  <c:v>0.19243193720042173</c:v>
                </c:pt>
              </c:numCache>
            </c:numRef>
          </c:val>
          <c:extLst>
            <c:ext xmlns:c16="http://schemas.microsoft.com/office/drawing/2014/chart" uri="{C3380CC4-5D6E-409C-BE32-E72D297353CC}">
              <c16:uniqueId val="{00000001-9AF5-4C13-A384-2EBEE9B0B37B}"/>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9AF5-4C13-A384-2EBEE9B0B37B}"/>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HEADLINES'!$U$14</c:f>
              <c:numCache>
                <c:formatCode>0.0%</c:formatCode>
                <c:ptCount val="1"/>
                <c:pt idx="0">
                  <c:v>0.19243193720042173</c:v>
                </c:pt>
              </c:numCache>
            </c:numRef>
          </c:val>
          <c:extLst>
            <c:ext xmlns:c16="http://schemas.microsoft.com/office/drawing/2014/chart" uri="{C3380CC4-5D6E-409C-BE32-E72D297353CC}">
              <c16:uniqueId val="{00000003-9AF5-4C13-A384-2EBEE9B0B37B}"/>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9AF5-4C13-A384-2EBEE9B0B37B}"/>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HEADLINES'!$U$16</c:f>
              <c:numCache>
                <c:formatCode>0.0%</c:formatCode>
                <c:ptCount val="1"/>
                <c:pt idx="0">
                  <c:v>0.45639328274874957</c:v>
                </c:pt>
              </c:numCache>
            </c:numRef>
          </c:val>
          <c:extLst>
            <c:ext xmlns:c16="http://schemas.microsoft.com/office/drawing/2014/chart" uri="{C3380CC4-5D6E-409C-BE32-E72D297353CC}">
              <c16:uniqueId val="{00000005-9AF5-4C13-A384-2EBEE9B0B37B}"/>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HEADLINES'!$U$17</c:f>
              <c:numCache>
                <c:formatCode>0.0%</c:formatCode>
                <c:ptCount val="1"/>
                <c:pt idx="0">
                  <c:v>0.29515132193047067</c:v>
                </c:pt>
              </c:numCache>
            </c:numRef>
          </c:val>
          <c:extLst>
            <c:ext xmlns:c16="http://schemas.microsoft.com/office/drawing/2014/chart" uri="{C3380CC4-5D6E-409C-BE32-E72D297353CC}">
              <c16:uniqueId val="{00000006-9AF5-4C13-A384-2EBEE9B0B37B}"/>
            </c:ext>
          </c:extLst>
        </c:ser>
        <c:dLbls>
          <c:dLblPos val="outEnd"/>
          <c:showLegendKey val="0"/>
          <c:showVal val="1"/>
          <c:showCatName val="0"/>
          <c:showSerName val="0"/>
          <c:showPercent val="0"/>
          <c:showBubbleSize val="0"/>
        </c:dLbls>
        <c:gapWidth val="0"/>
        <c:overlap val="10"/>
        <c:axId val="683559968"/>
        <c:axId val="683556048"/>
      </c:barChart>
      <c:catAx>
        <c:axId val="683559968"/>
        <c:scaling>
          <c:orientation val="minMax"/>
        </c:scaling>
        <c:delete val="1"/>
        <c:axPos val="b"/>
        <c:majorTickMark val="none"/>
        <c:minorTickMark val="none"/>
        <c:tickLblPos val="nextTo"/>
        <c:crossAx val="683556048"/>
        <c:crosses val="autoZero"/>
        <c:auto val="1"/>
        <c:lblAlgn val="ctr"/>
        <c:lblOffset val="100"/>
        <c:noMultiLvlLbl val="0"/>
      </c:catAx>
      <c:valAx>
        <c:axId val="683556048"/>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9968"/>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FC92-4C34-BB5D-7C7D52CDECDC}"/>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HEADLINES'!$X$13</c:f>
              <c:numCache>
                <c:formatCode>0.0%</c:formatCode>
                <c:ptCount val="1"/>
                <c:pt idx="0">
                  <c:v>0.32320846340691456</c:v>
                </c:pt>
              </c:numCache>
            </c:numRef>
          </c:val>
          <c:extLst>
            <c:ext xmlns:c16="http://schemas.microsoft.com/office/drawing/2014/chart" uri="{C3380CC4-5D6E-409C-BE32-E72D297353CC}">
              <c16:uniqueId val="{00000001-FC92-4C34-BB5D-7C7D52CDECDC}"/>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FC92-4C34-BB5D-7C7D52CDECDC}"/>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HEADLINES'!$X$14</c:f>
              <c:numCache>
                <c:formatCode>0.0%</c:formatCode>
                <c:ptCount val="1"/>
                <c:pt idx="0">
                  <c:v>0.29259715284603161</c:v>
                </c:pt>
              </c:numCache>
            </c:numRef>
          </c:val>
          <c:extLst>
            <c:ext xmlns:c16="http://schemas.microsoft.com/office/drawing/2014/chart" uri="{C3380CC4-5D6E-409C-BE32-E72D297353CC}">
              <c16:uniqueId val="{00000003-FC92-4C34-BB5D-7C7D52CDECDC}"/>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FC92-4C34-BB5D-7C7D52CDECDC}"/>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HEADLINES'!$X$16</c:f>
              <c:numCache>
                <c:formatCode>0.0%</c:formatCode>
                <c:ptCount val="1"/>
                <c:pt idx="0">
                  <c:v>0.39410022680000356</c:v>
                </c:pt>
              </c:numCache>
            </c:numRef>
          </c:val>
          <c:extLst>
            <c:ext xmlns:c16="http://schemas.microsoft.com/office/drawing/2014/chart" uri="{C3380CC4-5D6E-409C-BE32-E72D297353CC}">
              <c16:uniqueId val="{00000005-FC92-4C34-BB5D-7C7D52CDECDC}"/>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HEADLINES'!$X$17</c:f>
              <c:numCache>
                <c:formatCode>0.0%</c:formatCode>
                <c:ptCount val="1"/>
                <c:pt idx="0">
                  <c:v>0.29037171352724922</c:v>
                </c:pt>
              </c:numCache>
            </c:numRef>
          </c:val>
          <c:extLst>
            <c:ext xmlns:c16="http://schemas.microsoft.com/office/drawing/2014/chart" uri="{C3380CC4-5D6E-409C-BE32-E72D297353CC}">
              <c16:uniqueId val="{00000006-FC92-4C34-BB5D-7C7D52CDECDC}"/>
            </c:ext>
          </c:extLst>
        </c:ser>
        <c:dLbls>
          <c:dLblPos val="outEnd"/>
          <c:showLegendKey val="0"/>
          <c:showVal val="1"/>
          <c:showCatName val="0"/>
          <c:showSerName val="0"/>
          <c:showPercent val="0"/>
          <c:showBubbleSize val="0"/>
        </c:dLbls>
        <c:gapWidth val="0"/>
        <c:overlap val="10"/>
        <c:axId val="683560360"/>
        <c:axId val="683561144"/>
      </c:barChart>
      <c:catAx>
        <c:axId val="683560360"/>
        <c:scaling>
          <c:orientation val="minMax"/>
        </c:scaling>
        <c:delete val="1"/>
        <c:axPos val="b"/>
        <c:majorTickMark val="none"/>
        <c:minorTickMark val="none"/>
        <c:tickLblPos val="nextTo"/>
        <c:crossAx val="683561144"/>
        <c:crosses val="autoZero"/>
        <c:auto val="1"/>
        <c:lblAlgn val="ctr"/>
        <c:lblOffset val="100"/>
        <c:noMultiLvlLbl val="0"/>
      </c:catAx>
      <c:valAx>
        <c:axId val="683561144"/>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60360"/>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81273408239701"/>
          <c:y val="0"/>
          <c:w val="0.85018726591760296"/>
          <c:h val="0.6863162393162392"/>
        </c:manualLayout>
      </c:layout>
      <c:barChart>
        <c:barDir val="col"/>
        <c:grouping val="clustered"/>
        <c:varyColors val="0"/>
        <c:ser>
          <c:idx val="4"/>
          <c:order val="0"/>
          <c:tx>
            <c:v>Economic Impact</c:v>
          </c:tx>
          <c:spPr>
            <a:solidFill>
              <a:schemeClr val="accent1"/>
            </a:solidFill>
            <a:ln w="3175">
              <a:solidFill>
                <a:schemeClr val="tx1">
                  <a:lumMod val="65000"/>
                  <a:lumOff val="35000"/>
                </a:schemeClr>
              </a:solidFill>
            </a:ln>
            <a:effectLst/>
          </c:spPr>
          <c:invertIfNegative val="0"/>
          <c:dLbls>
            <c:spPr>
              <a:noFill/>
              <a:ln>
                <a:noFill/>
              </a:ln>
              <a:effectLst/>
            </c:spPr>
            <c:txPr>
              <a:bodyPr rot="-5400000" spcFirstLastPara="1" vertOverflow="ellipsis" vert="horz" wrap="square" lIns="0" tIns="0" rIns="0" bIns="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5"/>
                </a:solidFill>
                <a:prstDash val="sysDash"/>
              </a:ln>
              <a:effectLst>
                <a:softEdge rad="0"/>
              </a:effectLst>
            </c:spPr>
            <c:trendlineType val="linear"/>
            <c:dispRSqr val="0"/>
            <c:dispEq val="0"/>
          </c:trendline>
          <c:cat>
            <c:numRef>
              <c:f>[0]!EIYEARS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[0]!EIVISTYPETOTAL</c:f>
              <c:numCache>
                <c:formatCode>#,##0.00</c:formatCode>
                <c:ptCount val="12"/>
                <c:pt idx="0">
                  <c:v>2.4415275306474036</c:v>
                </c:pt>
                <c:pt idx="1">
                  <c:v>2.4482126690505579</c:v>
                </c:pt>
                <c:pt idx="2">
                  <c:v>2.6385089007344336</c:v>
                </c:pt>
                <c:pt idx="3">
                  <c:v>2.7594638437864365</c:v>
                </c:pt>
                <c:pt idx="4">
                  <c:v>2.871776413328841</c:v>
                </c:pt>
                <c:pt idx="5">
                  <c:v>2.9629846166373599</c:v>
                </c:pt>
                <c:pt idx="6">
                  <c:v>3.1368222915790014</c:v>
                </c:pt>
                <c:pt idx="7">
                  <c:v>3.3949045727983007</c:v>
                </c:pt>
                <c:pt idx="8">
                  <c:v>3.6904026890544444</c:v>
                </c:pt>
                <c:pt idx="9">
                  <c:v>1.475550594973412</c:v>
                </c:pt>
                <c:pt idx="10">
                  <c:v>2.9826648623555125</c:v>
                </c:pt>
                <c:pt idx="11">
                  <c:v>4.1581337610782212</c:v>
                </c:pt>
              </c:numCache>
            </c:numRef>
          </c:val>
          <c:extLst>
            <c:ext xmlns:c16="http://schemas.microsoft.com/office/drawing/2014/chart" uri="{C3380CC4-5D6E-409C-BE32-E72D297353CC}">
              <c16:uniqueId val="{00000001-7A9E-42C3-8E46-9A55FB3BE946}"/>
            </c:ext>
          </c:extLst>
        </c:ser>
        <c:dLbls>
          <c:dLblPos val="inBase"/>
          <c:showLegendKey val="0"/>
          <c:showVal val="1"/>
          <c:showCatName val="0"/>
          <c:showSerName val="0"/>
          <c:showPercent val="0"/>
          <c:showBubbleSize val="0"/>
        </c:dLbls>
        <c:gapWidth val="75"/>
        <c:axId val="683566632"/>
        <c:axId val="683551736"/>
      </c:barChart>
      <c:valAx>
        <c:axId val="683551736"/>
        <c:scaling>
          <c:orientation val="minMax"/>
          <c:min val="0"/>
        </c:scaling>
        <c:delete val="1"/>
        <c:axPos val="r"/>
        <c:numFmt formatCode="#,##0.00" sourceLinked="1"/>
        <c:majorTickMark val="out"/>
        <c:minorTickMark val="none"/>
        <c:tickLblPos val="nextTo"/>
        <c:crossAx val="683566632"/>
        <c:crosses val="max"/>
        <c:crossBetween val="between"/>
      </c:valAx>
      <c:catAx>
        <c:axId val="683566632"/>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83551736"/>
        <c:crosses val="autoZero"/>
        <c:auto val="1"/>
        <c:lblAlgn val="ctr"/>
        <c:lblOffset val="100"/>
        <c:noMultiLvlLbl val="0"/>
      </c:catAx>
      <c:spPr>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a:noFill/>
        </a:ln>
        <a:effectLst/>
      </c:spPr>
    </c:plotArea>
    <c:legend>
      <c:legendPos val="b"/>
      <c:layout>
        <c:manualLayout>
          <c:xMode val="edge"/>
          <c:yMode val="edge"/>
          <c:x val="5.0775884867046038E-3"/>
          <c:y val="0.90841282051282046"/>
          <c:w val="0.99492241151329541"/>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1" fmlaLink="$G$36" fmlaRange="$O$24:$O$27" noThreeD="1" sel="3" val="0"/>
</file>

<file path=xl/ctrlProps/ctrlProp10.xml><?xml version="1.0" encoding="utf-8"?>
<formControlPr xmlns="http://schemas.microsoft.com/office/spreadsheetml/2009/9/main" objectType="Drop" dropStyle="combo" dx="20" fmlaLink="FOCUSYEAR.no" fmlaRange="FOCUSYEAR.choices" noThreeD="1" sel="12" val="0"/>
</file>

<file path=xl/ctrlProps/ctrlProp11.xml><?xml version="1.0" encoding="utf-8"?>
<formControlPr xmlns="http://schemas.microsoft.com/office/spreadsheetml/2009/9/main" objectType="Drop" dropLines="2" dropStyle="combo" dx="20" fmlaLink="INDEX.no" fmlaRange="REP.YN" noThreeD="1" sel="2" val="0"/>
</file>

<file path=xl/ctrlProps/ctrlProp12.xml><?xml version="1.0" encoding="utf-8"?>
<formControlPr xmlns="http://schemas.microsoft.com/office/spreadsheetml/2009/9/main" objectType="Drop" dropStyle="combo" dx="20" fmlaLink="TYPE.no" fmlaRange="TYPE.choices" noThreeD="1" sel="1" val="0"/>
</file>

<file path=xl/ctrlProps/ctrlProp13.xml><?xml version="1.0" encoding="utf-8"?>
<formControlPr xmlns="http://schemas.microsoft.com/office/spreadsheetml/2009/9/main" objectType="Drop" dropStyle="combo" dx="20" fmlaLink="rep.percenthighlightno" fmlaRange="rep.percenthighlightchoices" noThreeD="1" sel="1" val="0"/>
</file>

<file path=xl/ctrlProps/ctrlProp14.xml><?xml version="1.0" encoding="utf-8"?>
<formControlPr xmlns="http://schemas.microsoft.com/office/spreadsheetml/2009/9/main" objectType="Drop" dropLines="2" dropStyle="combo" dx="20" fmlaLink="INDEX.no" fmlaRange="REP.YN" noThreeD="1" sel="2" val="0"/>
</file>

<file path=xl/ctrlProps/ctrlProp15.xml><?xml version="1.0" encoding="utf-8"?>
<formControlPr xmlns="http://schemas.microsoft.com/office/spreadsheetml/2009/9/main" objectType="Drop" dropStyle="combo" dx="20" fmlaLink="CHARTYEAR.no" fmlaRange="FOCUSYEAR.choices" noThreeD="1" sel="12" val="0"/>
</file>

<file path=xl/ctrlProps/ctrlProp16.xml><?xml version="1.0" encoding="utf-8"?>
<formControlPr xmlns="http://schemas.microsoft.com/office/spreadsheetml/2009/9/main" objectType="Drop" dropLines="2" dropStyle="combo" dx="20" fmlaLink="INDEX.no" fmlaRange="REP.YN" noThreeD="1" sel="2" val="0"/>
</file>

<file path=xl/ctrlProps/ctrlProp17.xml><?xml version="1.0" encoding="utf-8"?>
<formControlPr xmlns="http://schemas.microsoft.com/office/spreadsheetml/2009/9/main" objectType="Drop" dropStyle="combo" dx="20" fmlaLink="CHARTYEAR.no" fmlaRange="FOCUSYEAR.choices" noThreeD="1" sel="12" val="0"/>
</file>

<file path=xl/ctrlProps/ctrlProp18.xml><?xml version="1.0" encoding="utf-8"?>
<formControlPr xmlns="http://schemas.microsoft.com/office/spreadsheetml/2009/9/main" objectType="Drop" dropStyle="combo" dx="20" fmlaLink="rep.percenthighlightno" fmlaRange="rep.percenthighlightchoices" noThreeD="1" sel="1" val="0"/>
</file>

<file path=xl/ctrlProps/ctrlProp19.xml><?xml version="1.0" encoding="utf-8"?>
<formControlPr xmlns="http://schemas.microsoft.com/office/spreadsheetml/2009/9/main" objectType="Drop" dropLines="2" dropStyle="combo" dx="20" fmlaLink="INDEX.no" fmlaRange="REP.YN" noThreeD="1" sel="2" val="0"/>
</file>

<file path=xl/ctrlProps/ctrlProp2.xml><?xml version="1.0" encoding="utf-8"?>
<formControlPr xmlns="http://schemas.microsoft.com/office/spreadsheetml/2009/9/main" objectType="Drop" dropStyle="combo" dx="20" fmlaLink="rep.percenthighlightno" fmlaRange="rep.percenthighlightchoices" noThreeD="1" sel="1" val="0"/>
</file>

<file path=xl/ctrlProps/ctrlProp20.xml><?xml version="1.0" encoding="utf-8"?>
<formControlPr xmlns="http://schemas.microsoft.com/office/spreadsheetml/2009/9/main" objectType="Drop" dropStyle="combo" dx="20" fmlaLink="TYPE.no" fmlaRange="TYPE.choices" noThreeD="1" sel="1" val="0"/>
</file>

<file path=xl/ctrlProps/ctrlProp21.xml><?xml version="1.0" encoding="utf-8"?>
<formControlPr xmlns="http://schemas.microsoft.com/office/spreadsheetml/2009/9/main" objectType="Drop" dropStyle="combo" dx="20" fmlaLink="rep.percenthighlightno" fmlaRange="rep.percenthighlightchoices" noThreeD="1" sel="1" val="0"/>
</file>

<file path=xl/ctrlProps/ctrlProp22.xml><?xml version="1.0" encoding="utf-8"?>
<formControlPr xmlns="http://schemas.microsoft.com/office/spreadsheetml/2009/9/main" objectType="Drop" dropStyle="combo" dx="20" fmlaLink="TYPE.no" fmlaRange="TYPE.choices" noThreeD="1" sel="1" val="0"/>
</file>

<file path=xl/ctrlProps/ctrlProp23.xml><?xml version="1.0" encoding="utf-8"?>
<formControlPr xmlns="http://schemas.microsoft.com/office/spreadsheetml/2009/9/main" objectType="Drop" dropStyle="combo" dx="20" fmlaLink="rep.percenthighlightno" fmlaRange="rep.percenthighlightchoices" noThreeD="1" sel="1" val="0"/>
</file>

<file path=xl/ctrlProps/ctrlProp24.xml><?xml version="1.0" encoding="utf-8"?>
<formControlPr xmlns="http://schemas.microsoft.com/office/spreadsheetml/2009/9/main" objectType="Drop" dropStyle="combo" dx="20" fmlaLink="TYPE.no" fmlaRange="TYPE.choices" noThreeD="1" sel="1" val="0"/>
</file>

<file path=xl/ctrlProps/ctrlProp25.xml><?xml version="1.0" encoding="utf-8"?>
<formControlPr xmlns="http://schemas.microsoft.com/office/spreadsheetml/2009/9/main" objectType="Drop" dropStyle="combo" dx="20" fmlaLink="rep.percenthighlightno" fmlaRange="rep.percenthighlightchoices" noThreeD="1" sel="1" val="0"/>
</file>

<file path=xl/ctrlProps/ctrlProp26.xml><?xml version="1.0" encoding="utf-8"?>
<formControlPr xmlns="http://schemas.microsoft.com/office/spreadsheetml/2009/9/main" objectType="Drop" dropStyle="combo" dx="20" fmlaLink="TYPE.no" fmlaRange="TYPE.choices" noThreeD="1" sel="1" val="0"/>
</file>

<file path=xl/ctrlProps/ctrlProp27.xml><?xml version="1.0" encoding="utf-8"?>
<formControlPr xmlns="http://schemas.microsoft.com/office/spreadsheetml/2009/9/main" objectType="Drop" dropLines="2" dropStyle="combo" dx="20" fmlaLink="INDEX.no" fmlaRange="REP.YN" noThreeD="1" sel="2" val="0"/>
</file>

<file path=xl/ctrlProps/ctrlProp28.xml><?xml version="1.0" encoding="utf-8"?>
<formControlPr xmlns="http://schemas.microsoft.com/office/spreadsheetml/2009/9/main" objectType="Drop" dropStyle="combo" dx="20" fmlaLink="CHARTYEAR.no" fmlaRange="FOCUSYEAR.choices" noThreeD="1" sel="12" val="0"/>
</file>

<file path=xl/ctrlProps/ctrlProp29.xml><?xml version="1.0" encoding="utf-8"?>
<formControlPr xmlns="http://schemas.microsoft.com/office/spreadsheetml/2009/9/main" objectType="Drop" dropStyle="combo" dx="20" fmlaLink="rep.percenthighlightno" fmlaRange="rep.percenthighlightchoices" noThreeD="1" sel="1" val="0"/>
</file>

<file path=xl/ctrlProps/ctrlProp3.xml><?xml version="1.0" encoding="utf-8"?>
<formControlPr xmlns="http://schemas.microsoft.com/office/spreadsheetml/2009/9/main" objectType="Drop" dropStyle="combo" dx="20" fmlaLink="COMPARISONYEAR.no" fmlaRange="CHART.choices" noThreeD="1" sel="11" val="0"/>
</file>

<file path=xl/ctrlProps/ctrlProp30.xml><?xml version="1.0" encoding="utf-8"?>
<formControlPr xmlns="http://schemas.microsoft.com/office/spreadsheetml/2009/9/main" objectType="Drop" dropLines="2" dropStyle="combo" dx="20" fmlaLink="INDEX.no" fmlaRange="REP.YN" noThreeD="1" sel="2" val="0"/>
</file>

<file path=xl/ctrlProps/ctrlProp31.xml><?xml version="1.0" encoding="utf-8"?>
<formControlPr xmlns="http://schemas.microsoft.com/office/spreadsheetml/2009/9/main" objectType="Drop" dropStyle="combo" dx="20" fmlaLink="CHARTYEAR.no" fmlaRange="FOCUSYEAR.choices" noThreeD="1" sel="12" val="0"/>
</file>

<file path=xl/ctrlProps/ctrlProp4.xml><?xml version="1.0" encoding="utf-8"?>
<formControlPr xmlns="http://schemas.microsoft.com/office/spreadsheetml/2009/9/main" objectType="Drop" dropLines="2" dropStyle="combo" dx="20" fmlaLink="INDEX.no" fmlaRange="REP.YN" noThreeD="1" sel="2" val="0"/>
</file>

<file path=xl/ctrlProps/ctrlProp5.xml><?xml version="1.0" encoding="utf-8"?>
<formControlPr xmlns="http://schemas.microsoft.com/office/spreadsheetml/2009/9/main" objectType="Drop" dropStyle="combo" dx="20" fmlaLink="FOCUSYEAR.no" fmlaRange="REP.yearsrange" noThreeD="1" sel="12" val="0"/>
</file>

<file path=xl/ctrlProps/ctrlProp6.xml><?xml version="1.0" encoding="utf-8"?>
<formControlPr xmlns="http://schemas.microsoft.com/office/spreadsheetml/2009/9/main" objectType="Drop" dropStyle="combo" dx="20" fmlaLink="TYPE.no" fmlaRange="TYPE.choices" noThreeD="1" sel="1" val="0"/>
</file>

<file path=xl/ctrlProps/ctrlProp7.xml><?xml version="1.0" encoding="utf-8"?>
<formControlPr xmlns="http://schemas.microsoft.com/office/spreadsheetml/2009/9/main" objectType="Drop" dropStyle="combo" dx="20" fmlaLink="rep.percenthighlightno" fmlaRange="rep.percenthighlightchoices" noThreeD="1" sel="1" val="0"/>
</file>

<file path=xl/ctrlProps/ctrlProp8.xml><?xml version="1.0" encoding="utf-8"?>
<formControlPr xmlns="http://schemas.microsoft.com/office/spreadsheetml/2009/9/main" objectType="Drop" dropStyle="combo" dx="20" fmlaLink="COMPARISONYEAR.no" fmlaRange="CHART.choices" noThreeD="1" sel="11" val="0"/>
</file>

<file path=xl/ctrlProps/ctrlProp9.xml><?xml version="1.0" encoding="utf-8"?>
<formControlPr xmlns="http://schemas.microsoft.com/office/spreadsheetml/2009/9/main" objectType="Drop" dropLines="2" dropStyle="combo" dx="20" fmlaLink="INDEX.no" fmlaRange="REP.YN" noThreeD="1" sel="2" val="0"/>
</file>

<file path=xl/drawings/_rels/drawing10.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6.xml"/></Relationships>
</file>

<file path=xl/drawings/_rels/drawing11.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7.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8.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5" Type="http://schemas.openxmlformats.org/officeDocument/2006/relationships/chart" Target="../charts/chart32.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image" Target="../media/image62.jpg"/></Relationships>
</file>

<file path=xl/drawings/_rels/drawing19.xml.rels><?xml version="1.0" encoding="UTF-8" standalone="yes"?>
<Relationships xmlns="http://schemas.openxmlformats.org/package/2006/relationships"><Relationship Id="rId8" Type="http://schemas.openxmlformats.org/officeDocument/2006/relationships/image" Target="../media/image67.png"/><Relationship Id="rId13" Type="http://schemas.openxmlformats.org/officeDocument/2006/relationships/image" Target="../media/image72.emf"/><Relationship Id="rId18" Type="http://schemas.openxmlformats.org/officeDocument/2006/relationships/image" Target="../media/image77.jpg"/><Relationship Id="rId3" Type="http://schemas.openxmlformats.org/officeDocument/2006/relationships/image" Target="../media/image2.WMF"/><Relationship Id="rId7" Type="http://schemas.openxmlformats.org/officeDocument/2006/relationships/image" Target="../media/image66.emf"/><Relationship Id="rId12" Type="http://schemas.openxmlformats.org/officeDocument/2006/relationships/image" Target="../media/image71.emf"/><Relationship Id="rId17" Type="http://schemas.openxmlformats.org/officeDocument/2006/relationships/image" Target="../media/image76.emf"/><Relationship Id="rId2" Type="http://schemas.openxmlformats.org/officeDocument/2006/relationships/hyperlink" Target="#HOME!E6"/><Relationship Id="rId16" Type="http://schemas.openxmlformats.org/officeDocument/2006/relationships/image" Target="../media/image75.emf"/><Relationship Id="rId1" Type="http://schemas.openxmlformats.org/officeDocument/2006/relationships/image" Target="../media/image1.jpeg"/><Relationship Id="rId6" Type="http://schemas.openxmlformats.org/officeDocument/2006/relationships/image" Target="../media/image65.emf"/><Relationship Id="rId11" Type="http://schemas.openxmlformats.org/officeDocument/2006/relationships/image" Target="../media/image70.png"/><Relationship Id="rId5" Type="http://schemas.openxmlformats.org/officeDocument/2006/relationships/image" Target="../media/image64.emf"/><Relationship Id="rId15" Type="http://schemas.openxmlformats.org/officeDocument/2006/relationships/image" Target="../media/image74.png"/><Relationship Id="rId10" Type="http://schemas.openxmlformats.org/officeDocument/2006/relationships/image" Target="../media/image69.emf"/><Relationship Id="rId19" Type="http://schemas.openxmlformats.org/officeDocument/2006/relationships/image" Target="../media/image78.png"/><Relationship Id="rId4" Type="http://schemas.openxmlformats.org/officeDocument/2006/relationships/image" Target="../media/image63.emf"/><Relationship Id="rId9" Type="http://schemas.openxmlformats.org/officeDocument/2006/relationships/image" Target="../media/image68.emf"/><Relationship Id="rId14" Type="http://schemas.openxmlformats.org/officeDocument/2006/relationships/image" Target="../media/image73.emf"/></Relationships>
</file>

<file path=xl/drawings/_rels/drawing2.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hyperlink" Target="#HOME!E6"/></Relationships>
</file>

<file path=xl/drawings/_rels/drawing3.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7.emf"/><Relationship Id="rId18" Type="http://schemas.openxmlformats.org/officeDocument/2006/relationships/image" Target="../media/image10.png"/><Relationship Id="rId26" Type="http://schemas.openxmlformats.org/officeDocument/2006/relationships/hyperlink" Target="#'SECTORAL ANALYSIS'!E6"/><Relationship Id="rId3" Type="http://schemas.openxmlformats.org/officeDocument/2006/relationships/image" Target="../media/image2.WMF"/><Relationship Id="rId21" Type="http://schemas.openxmlformats.org/officeDocument/2006/relationships/hyperlink" Target="#COVER!E6"/><Relationship Id="rId34" Type="http://schemas.openxmlformats.org/officeDocument/2006/relationships/image" Target="../media/image18.emf"/><Relationship Id="rId7" Type="http://schemas.openxmlformats.org/officeDocument/2006/relationships/image" Target="../media/image4.emf"/><Relationship Id="rId12" Type="http://schemas.openxmlformats.org/officeDocument/2006/relationships/hyperlink" Target="#EMPLOYMENT!E6"/><Relationship Id="rId17" Type="http://schemas.openxmlformats.org/officeDocument/2006/relationships/hyperlink" Target="#'USER GUIDE'!E6"/><Relationship Id="rId25" Type="http://schemas.openxmlformats.org/officeDocument/2006/relationships/image" Target="../media/image13.png"/><Relationship Id="rId33" Type="http://schemas.openxmlformats.org/officeDocument/2006/relationships/hyperlink" Target="#'MONTHLY DISTRIBUTION'!E6"/><Relationship Id="rId2" Type="http://schemas.openxmlformats.org/officeDocument/2006/relationships/hyperlink" Target="#HOME!E6"/><Relationship Id="rId16" Type="http://schemas.openxmlformats.org/officeDocument/2006/relationships/image" Target="../media/image9.wmf"/><Relationship Id="rId20" Type="http://schemas.openxmlformats.org/officeDocument/2006/relationships/image" Target="../media/image11.wmf"/><Relationship Id="rId29" Type="http://schemas.openxmlformats.org/officeDocument/2006/relationships/image" Target="../media/image15.emf"/><Relationship Id="rId1" Type="http://schemas.openxmlformats.org/officeDocument/2006/relationships/image" Target="../media/image1.jpeg"/><Relationship Id="rId6" Type="http://schemas.openxmlformats.org/officeDocument/2006/relationships/hyperlink" Target="#'ECONOMIC IMPACT'!E6"/><Relationship Id="rId11" Type="http://schemas.openxmlformats.org/officeDocument/2006/relationships/image" Target="../media/image6.emf"/><Relationship Id="rId24" Type="http://schemas.openxmlformats.org/officeDocument/2006/relationships/image" Target="../media/image12.emf"/><Relationship Id="rId32" Type="http://schemas.openxmlformats.org/officeDocument/2006/relationships/image" Target="../media/image17.emf"/><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hyperlink" Target="#CONTENTS!A1"/><Relationship Id="rId28" Type="http://schemas.openxmlformats.org/officeDocument/2006/relationships/hyperlink" Target="#COVER!A1"/><Relationship Id="rId36" Type="http://schemas.openxmlformats.org/officeDocument/2006/relationships/image" Target="../media/image19.emf"/><Relationship Id="rId10" Type="http://schemas.openxmlformats.org/officeDocument/2006/relationships/hyperlink" Target="#'VISITOR NUMBERS'!E6"/><Relationship Id="rId19" Type="http://schemas.openxmlformats.org/officeDocument/2006/relationships/hyperlink" Target="#DATA!E6"/><Relationship Id="rId31" Type="http://schemas.openxmlformats.org/officeDocument/2006/relationships/hyperlink" Target="#'VISITOR TYPE DISTRIBUTION'!E6"/><Relationship Id="rId4" Type="http://schemas.openxmlformats.org/officeDocument/2006/relationships/hyperlink" Target="#'COMPARATIVE HEADLINES'!E6"/><Relationship Id="rId9" Type="http://schemas.openxmlformats.org/officeDocument/2006/relationships/image" Target="../media/image5.emf"/><Relationship Id="rId14" Type="http://schemas.openxmlformats.org/officeDocument/2006/relationships/hyperlink" Target="#'KEY MEASURES'!E6"/><Relationship Id="rId22" Type="http://schemas.openxmlformats.org/officeDocument/2006/relationships/hyperlink" Target="#CONTENTS!E6"/><Relationship Id="rId27" Type="http://schemas.openxmlformats.org/officeDocument/2006/relationships/image" Target="../media/image14.emf"/><Relationship Id="rId30" Type="http://schemas.openxmlformats.org/officeDocument/2006/relationships/image" Target="../media/image16.jpeg"/><Relationship Id="rId35" Type="http://schemas.openxmlformats.org/officeDocument/2006/relationships/hyperlink" Target="#'ACCOMMODATION SUPPLY'!E6"/><Relationship Id="rId8" Type="http://schemas.openxmlformats.org/officeDocument/2006/relationships/hyperlink" Target="#'VISITOR DAYS'!E6"/></Relationships>
</file>

<file path=xl/drawings/_rels/drawing5.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image" Target="../media/image33.emf"/><Relationship Id="rId5" Type="http://schemas.openxmlformats.org/officeDocument/2006/relationships/image" Target="../media/image32.emf"/><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chart" Target="../charts/chart2.xml"/><Relationship Id="rId7" Type="http://schemas.openxmlformats.org/officeDocument/2006/relationships/chart" Target="../charts/chart4.xml"/><Relationship Id="rId2" Type="http://schemas.openxmlformats.org/officeDocument/2006/relationships/image" Target="../media/image1.jpe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image" Target="../media/image2.WMF"/><Relationship Id="rId10" Type="http://schemas.openxmlformats.org/officeDocument/2006/relationships/chart" Target="../charts/chart7.xml"/><Relationship Id="rId4" Type="http://schemas.openxmlformats.org/officeDocument/2006/relationships/hyperlink" Target="#HOME!E6"/><Relationship Id="rId9" Type="http://schemas.openxmlformats.org/officeDocument/2006/relationships/chart" Target="../charts/chart6.xml"/></Relationships>
</file>

<file path=xl/drawings/_rels/drawing7.x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image" Target="../media/image2.WMF"/><Relationship Id="rId7" Type="http://schemas.openxmlformats.org/officeDocument/2006/relationships/chart" Target="../charts/chart12.xml"/><Relationship Id="rId12" Type="http://schemas.openxmlformats.org/officeDocument/2006/relationships/image" Target="../media/image40.emf"/><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chart" Target="../charts/chart11.xml"/><Relationship Id="rId11" Type="http://schemas.openxmlformats.org/officeDocument/2006/relationships/image" Target="../media/image39.emf"/><Relationship Id="rId5" Type="http://schemas.openxmlformats.org/officeDocument/2006/relationships/chart" Target="../charts/chart10.xml"/><Relationship Id="rId10" Type="http://schemas.openxmlformats.org/officeDocument/2006/relationships/image" Target="../media/image38.emf"/><Relationship Id="rId4" Type="http://schemas.openxmlformats.org/officeDocument/2006/relationships/chart" Target="../charts/chart9.xml"/><Relationship Id="rId9" Type="http://schemas.openxmlformats.org/officeDocument/2006/relationships/image" Target="../media/image37.emf"/></Relationships>
</file>

<file path=xl/drawings/_rels/drawing8.xml.rels><?xml version="1.0" encoding="UTF-8" standalone="yes"?>
<Relationships xmlns="http://schemas.openxmlformats.org/package/2006/relationships"><Relationship Id="rId8" Type="http://schemas.openxmlformats.org/officeDocument/2006/relationships/image" Target="../media/image47.emf"/><Relationship Id="rId13" Type="http://schemas.openxmlformats.org/officeDocument/2006/relationships/chart" Target="../charts/chart18.xml"/><Relationship Id="rId18" Type="http://schemas.openxmlformats.org/officeDocument/2006/relationships/chart" Target="../charts/chart21.xml"/><Relationship Id="rId3" Type="http://schemas.openxmlformats.org/officeDocument/2006/relationships/image" Target="../media/image2.WMF"/><Relationship Id="rId7" Type="http://schemas.openxmlformats.org/officeDocument/2006/relationships/image" Target="../media/image46.emf"/><Relationship Id="rId12" Type="http://schemas.openxmlformats.org/officeDocument/2006/relationships/image" Target="../media/image49.emf"/><Relationship Id="rId17" Type="http://schemas.openxmlformats.org/officeDocument/2006/relationships/chart" Target="../charts/chart20.xml"/><Relationship Id="rId2" Type="http://schemas.openxmlformats.org/officeDocument/2006/relationships/hyperlink" Target="#HOME!E6"/><Relationship Id="rId16" Type="http://schemas.openxmlformats.org/officeDocument/2006/relationships/image" Target="../media/image51.emf"/><Relationship Id="rId20" Type="http://schemas.openxmlformats.org/officeDocument/2006/relationships/image" Target="../media/image53.emf"/><Relationship Id="rId1" Type="http://schemas.openxmlformats.org/officeDocument/2006/relationships/image" Target="../media/image1.jpeg"/><Relationship Id="rId6" Type="http://schemas.openxmlformats.org/officeDocument/2006/relationships/chart" Target="../charts/chart15.xml"/><Relationship Id="rId11" Type="http://schemas.openxmlformats.org/officeDocument/2006/relationships/image" Target="../media/image48.emf"/><Relationship Id="rId5" Type="http://schemas.openxmlformats.org/officeDocument/2006/relationships/chart" Target="../charts/chart14.xml"/><Relationship Id="rId15" Type="http://schemas.openxmlformats.org/officeDocument/2006/relationships/image" Target="../media/image50.emf"/><Relationship Id="rId10" Type="http://schemas.openxmlformats.org/officeDocument/2006/relationships/chart" Target="../charts/chart17.xml"/><Relationship Id="rId19" Type="http://schemas.openxmlformats.org/officeDocument/2006/relationships/image" Target="../media/image52.emf"/><Relationship Id="rId4" Type="http://schemas.openxmlformats.org/officeDocument/2006/relationships/chart" Target="../charts/chart13.xml"/><Relationship Id="rId9" Type="http://schemas.openxmlformats.org/officeDocument/2006/relationships/chart" Target="../charts/chart16.xml"/><Relationship Id="rId14"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3" Type="http://schemas.openxmlformats.org/officeDocument/2006/relationships/image" Target="../media/image2.WMF"/><Relationship Id="rId7" Type="http://schemas.openxmlformats.org/officeDocument/2006/relationships/chart" Target="../charts/chart25.xml"/><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vmlDrawing2.v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image" Target="../media/image22.emf"/><Relationship Id="rId7" Type="http://schemas.openxmlformats.org/officeDocument/2006/relationships/image" Target="../media/image26.emf"/><Relationship Id="rId12" Type="http://schemas.openxmlformats.org/officeDocument/2006/relationships/image" Target="../media/image31.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11" Type="http://schemas.openxmlformats.org/officeDocument/2006/relationships/image" Target="../media/image30.emf"/><Relationship Id="rId5" Type="http://schemas.openxmlformats.org/officeDocument/2006/relationships/image" Target="../media/image24.emf"/><Relationship Id="rId10" Type="http://schemas.openxmlformats.org/officeDocument/2006/relationships/image" Target="../media/image29.emf"/><Relationship Id="rId4" Type="http://schemas.openxmlformats.org/officeDocument/2006/relationships/image" Target="../media/image23.emf"/><Relationship Id="rId9"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2.emf"/><Relationship Id="rId1" Type="http://schemas.openxmlformats.org/officeDocument/2006/relationships/image" Target="../media/image41.emf"/><Relationship Id="rId5" Type="http://schemas.openxmlformats.org/officeDocument/2006/relationships/image" Target="../media/image45.emf"/><Relationship Id="rId4" Type="http://schemas.openxmlformats.org/officeDocument/2006/relationships/image" Target="../media/image44.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61.emf"/><Relationship Id="rId3" Type="http://schemas.openxmlformats.org/officeDocument/2006/relationships/image" Target="../media/image56.emf"/><Relationship Id="rId7" Type="http://schemas.openxmlformats.org/officeDocument/2006/relationships/image" Target="../media/image60.emf"/><Relationship Id="rId2" Type="http://schemas.openxmlformats.org/officeDocument/2006/relationships/image" Target="../media/image55.emf"/><Relationship Id="rId1" Type="http://schemas.openxmlformats.org/officeDocument/2006/relationships/image" Target="../media/image54.emf"/><Relationship Id="rId6" Type="http://schemas.openxmlformats.org/officeDocument/2006/relationships/image" Target="../media/image59.emf"/><Relationship Id="rId5" Type="http://schemas.openxmlformats.org/officeDocument/2006/relationships/image" Target="../media/image58.emf"/><Relationship Id="rId4" Type="http://schemas.openxmlformats.org/officeDocument/2006/relationships/image" Target="../media/image5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533400</xdr:colOff>
          <xdr:row>36</xdr:row>
          <xdr:rowOff>114300</xdr:rowOff>
        </xdr:from>
        <xdr:to>
          <xdr:col>5</xdr:col>
          <xdr:colOff>723900</xdr:colOff>
          <xdr:row>39</xdr:row>
          <xdr:rowOff>175260</xdr:rowOff>
        </xdr:to>
        <xdr:sp macro="" textlink="">
          <xdr:nvSpPr>
            <xdr:cNvPr id="389121" name="List Box 1" hidden="1">
              <a:extLst>
                <a:ext uri="{63B3BB69-23CF-44E3-9099-C40C66FF867C}">
                  <a14:compatExt spid="_x0000_s389121"/>
                </a:ext>
                <a:ext uri="{FF2B5EF4-FFF2-40B4-BE49-F238E27FC236}">
                  <a16:creationId xmlns:a16="http://schemas.microsoft.com/office/drawing/2014/main" id="{00000000-0008-0000-0100-000001F0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13</xdr:col>
      <xdr:colOff>304800</xdr:colOff>
      <xdr:row>4</xdr:row>
      <xdr:rowOff>0</xdr:rowOff>
    </xdr:from>
    <xdr:to>
      <xdr:col>16</xdr:col>
      <xdr:colOff>138840</xdr:colOff>
      <xdr:row>4</xdr:row>
      <xdr:rowOff>327600</xdr:rowOff>
    </xdr:to>
    <xdr:sp macro="" textlink="">
      <xdr:nvSpPr>
        <xdr:cNvPr id="22" name="Rectangle 21">
          <a:extLst>
            <a:ext uri="{FF2B5EF4-FFF2-40B4-BE49-F238E27FC236}">
              <a16:creationId xmlns:a16="http://schemas.microsoft.com/office/drawing/2014/main" id="{00000000-0008-0000-0A00-000016000000}"/>
            </a:ext>
          </a:extLst>
        </xdr:cNvPr>
        <xdr:cNvSpPr/>
      </xdr:nvSpPr>
      <xdr:spPr>
        <a:xfrm>
          <a:off x="6448425" y="866775"/>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25" name="Picture 24" descr="logovvsm.jpg">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2" name="TextBox 1">
          <a:extLst>
            <a:ext uri="{FF2B5EF4-FFF2-40B4-BE49-F238E27FC236}">
              <a16:creationId xmlns:a16="http://schemas.microsoft.com/office/drawing/2014/main" id="{00000000-0008-0000-0A00-000002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28" name="Rectangle 27">
          <a:extLst>
            <a:ext uri="{FF2B5EF4-FFF2-40B4-BE49-F238E27FC236}">
              <a16:creationId xmlns:a16="http://schemas.microsoft.com/office/drawing/2014/main" id="{00000000-0008-0000-0A00-00001C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3" name="Picture 2">
          <a:hlinkClick xmlns:r="http://schemas.openxmlformats.org/officeDocument/2006/relationships" r:id="rId2" tooltip="Home - Navigation Page"/>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53340</xdr:colOff>
      <xdr:row>29</xdr:row>
      <xdr:rowOff>83820</xdr:rowOff>
    </xdr:from>
    <xdr:to>
      <xdr:col>23</xdr:col>
      <xdr:colOff>457200</xdr:colOff>
      <xdr:row>37</xdr:row>
      <xdr:rowOff>114300</xdr:rowOff>
    </xdr:to>
    <xdr:graphicFrame macro="">
      <xdr:nvGraphicFramePr>
        <xdr:cNvPr id="7" name="Chart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43815</xdr:colOff>
      <xdr:row>28</xdr:row>
      <xdr:rowOff>39083</xdr:rowOff>
    </xdr:from>
    <xdr:to>
      <xdr:col>24</xdr:col>
      <xdr:colOff>28575</xdr:colOff>
      <xdr:row>28</xdr:row>
      <xdr:rowOff>161956</xdr:rowOff>
    </xdr:to>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8473440" y="5839808"/>
          <a:ext cx="272796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900" b="1" i="0" u="none" strike="noStrike">
              <a:solidFill>
                <a:schemeClr val="tx1">
                  <a:lumMod val="50000"/>
                  <a:lumOff val="50000"/>
                </a:schemeClr>
              </a:solidFill>
              <a:latin typeface="Calibri"/>
            </a:rPr>
            <a:t>Economic Impact </a:t>
          </a:r>
          <a:r>
            <a:rPr lang="en-US" sz="900" b="1" i="0" u="none" strike="noStrike" baseline="0">
              <a:solidFill>
                <a:schemeClr val="tx1">
                  <a:lumMod val="50000"/>
                  <a:lumOff val="50000"/>
                </a:schemeClr>
              </a:solidFill>
              <a:latin typeface="Calibri"/>
            </a:rPr>
            <a:t>by Year and Share of Total</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20" name="Rectangle 19">
          <a:extLst>
            <a:ext uri="{FF2B5EF4-FFF2-40B4-BE49-F238E27FC236}">
              <a16:creationId xmlns:a16="http://schemas.microsoft.com/office/drawing/2014/main" id="{00000000-0008-0000-0A00-000014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040" name="Drop Down 16" hidden="1">
              <a:extLst>
                <a:ext uri="{63B3BB69-23CF-44E3-9099-C40C66FF867C}">
                  <a14:compatExt spid="_x0000_s1040"/>
                </a:ext>
                <a:ext uri="{FF2B5EF4-FFF2-40B4-BE49-F238E27FC236}">
                  <a16:creationId xmlns:a16="http://schemas.microsoft.com/office/drawing/2014/main" id="{00000000-0008-0000-0A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A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24" name="Rectangle 23">
          <a:extLst>
            <a:ext uri="{FF2B5EF4-FFF2-40B4-BE49-F238E27FC236}">
              <a16:creationId xmlns:a16="http://schemas.microsoft.com/office/drawing/2014/main" id="{00000000-0008-0000-0A00-000018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A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8" name="Rectangle 17">
          <a:extLst>
            <a:ext uri="{FF2B5EF4-FFF2-40B4-BE49-F238E27FC236}">
              <a16:creationId xmlns:a16="http://schemas.microsoft.com/office/drawing/2014/main" id="{00000000-0008-0000-0A00-000012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9" name="Bent Arrow 18">
          <a:extLst>
            <a:ext uri="{FF2B5EF4-FFF2-40B4-BE49-F238E27FC236}">
              <a16:creationId xmlns:a16="http://schemas.microsoft.com/office/drawing/2014/main" id="{00000000-0008-0000-0A00-000013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78105</xdr:colOff>
      <xdr:row>28</xdr:row>
      <xdr:rowOff>68579</xdr:rowOff>
    </xdr:from>
    <xdr:to>
      <xdr:col>18</xdr:col>
      <xdr:colOff>384809</xdr:colOff>
      <xdr:row>29</xdr:row>
      <xdr:rowOff>24765</xdr:rowOff>
    </xdr:to>
    <xdr:sp macro="" textlink="$F$16">
      <xdr:nvSpPr>
        <xdr:cNvPr id="21" name="TextBox 20">
          <a:extLst>
            <a:ext uri="{FF2B5EF4-FFF2-40B4-BE49-F238E27FC236}">
              <a16:creationId xmlns:a16="http://schemas.microsoft.com/office/drawing/2014/main" id="{00000000-0008-0000-0A00-000015000000}"/>
            </a:ext>
          </a:extLst>
        </xdr:cNvPr>
        <xdr:cNvSpPr txBox="1"/>
      </xdr:nvSpPr>
      <xdr:spPr>
        <a:xfrm>
          <a:off x="8850630" y="58693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43D5B695-DBC5-4614-8745-598FF1BA22CC}" type="TxLink">
            <a:rPr lang="en-US" sz="900" b="1" i="0" u="none" strike="noStrike">
              <a:solidFill>
                <a:schemeClr val="tx1"/>
              </a:solidFill>
              <a:latin typeface="Calibri"/>
            </a:rPr>
            <a:pPr algn="ctr"/>
            <a:t>£Bn</a:t>
          </a:fld>
          <a:endParaRPr lang="en-US" sz="800" b="1" i="0" u="none" strike="noStrike">
            <a:solidFill>
              <a:schemeClr val="tx1"/>
            </a:solidFill>
            <a:latin typeface="Calibri"/>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B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B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24</xdr:col>
      <xdr:colOff>0</xdr:colOff>
      <xdr:row>37</xdr:row>
      <xdr:rowOff>114300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93345</xdr:colOff>
      <xdr:row>28</xdr:row>
      <xdr:rowOff>48608</xdr:rowOff>
    </xdr:from>
    <xdr:to>
      <xdr:col>23</xdr:col>
      <xdr:colOff>428625</xdr:colOff>
      <xdr:row>28</xdr:row>
      <xdr:rowOff>171481</xdr:rowOff>
    </xdr:to>
    <xdr:sp macro="" textlink="">
      <xdr:nvSpPr>
        <xdr:cNvPr id="11" name="TextBox 10">
          <a:extLst>
            <a:ext uri="{FF2B5EF4-FFF2-40B4-BE49-F238E27FC236}">
              <a16:creationId xmlns:a16="http://schemas.microsoft.com/office/drawing/2014/main" id="{00000000-0008-0000-0B00-00000B000000}"/>
            </a:ext>
          </a:extLst>
        </xdr:cNvPr>
        <xdr:cNvSpPr txBox="1"/>
      </xdr:nvSpPr>
      <xdr:spPr>
        <a:xfrm>
          <a:off x="8522970" y="5849333"/>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900" b="1" i="0" u="none" strike="noStrike">
              <a:solidFill>
                <a:schemeClr val="tx1">
                  <a:lumMod val="50000"/>
                  <a:lumOff val="50000"/>
                </a:schemeClr>
              </a:solidFill>
              <a:latin typeface="Calibri"/>
            </a:rPr>
            <a:t>Visitor No.s </a:t>
          </a:r>
          <a:r>
            <a:rPr lang="en-US" sz="900" b="1" i="0" u="none" strike="noStrike" baseline="0">
              <a:solidFill>
                <a:schemeClr val="tx1">
                  <a:lumMod val="50000"/>
                  <a:lumOff val="50000"/>
                </a:schemeClr>
              </a:solidFill>
              <a:latin typeface="Calibri"/>
            </a:rPr>
            <a:t>by Year and Share of Total</a:t>
          </a: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 </a:t>
          </a:r>
          <a:r>
            <a:rPr lang="en-GB" sz="900" b="1" baseline="0">
              <a:solidFill>
                <a:schemeClr val="bg1"/>
              </a:solidFill>
            </a:rPr>
            <a:t>%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18787" name="Drop Down 3" hidden="1">
              <a:extLst>
                <a:ext uri="{63B3BB69-23CF-44E3-9099-C40C66FF867C}">
                  <a14:compatExt spid="_x0000_s118787"/>
                </a:ext>
                <a:ext uri="{FF2B5EF4-FFF2-40B4-BE49-F238E27FC236}">
                  <a16:creationId xmlns:a16="http://schemas.microsoft.com/office/drawing/2014/main" id="{00000000-0008-0000-0B00-000003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8" name="Rectangle 17">
          <a:extLst>
            <a:ext uri="{FF2B5EF4-FFF2-40B4-BE49-F238E27FC236}">
              <a16:creationId xmlns:a16="http://schemas.microsoft.com/office/drawing/2014/main" id="{00000000-0008-0000-0B00-000012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18789" name="Drop Down 5" hidden="1">
              <a:extLst>
                <a:ext uri="{63B3BB69-23CF-44E3-9099-C40C66FF867C}">
                  <a14:compatExt spid="_x0000_s118789"/>
                </a:ext>
                <a:ext uri="{FF2B5EF4-FFF2-40B4-BE49-F238E27FC236}">
                  <a16:creationId xmlns:a16="http://schemas.microsoft.com/office/drawing/2014/main" id="{00000000-0008-0000-0B00-000005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4" name="Rectangle 13">
          <a:extLst>
            <a:ext uri="{FF2B5EF4-FFF2-40B4-BE49-F238E27FC236}">
              <a16:creationId xmlns:a16="http://schemas.microsoft.com/office/drawing/2014/main" id="{00000000-0008-0000-0B00-00000E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6" name="Bent Arrow 15">
          <a:extLst>
            <a:ext uri="{FF2B5EF4-FFF2-40B4-BE49-F238E27FC236}">
              <a16:creationId xmlns:a16="http://schemas.microsoft.com/office/drawing/2014/main" id="{00000000-0008-0000-0B00-000010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104775</xdr:colOff>
      <xdr:row>28</xdr:row>
      <xdr:rowOff>55245</xdr:rowOff>
    </xdr:from>
    <xdr:to>
      <xdr:col>18</xdr:col>
      <xdr:colOff>411479</xdr:colOff>
      <xdr:row>29</xdr:row>
      <xdr:rowOff>11431</xdr:rowOff>
    </xdr:to>
    <xdr:sp macro="" textlink="$F$16">
      <xdr:nvSpPr>
        <xdr:cNvPr id="17" name="TextBox 16">
          <a:extLst>
            <a:ext uri="{FF2B5EF4-FFF2-40B4-BE49-F238E27FC236}">
              <a16:creationId xmlns:a16="http://schemas.microsoft.com/office/drawing/2014/main" id="{00000000-0008-0000-0B00-000011000000}"/>
            </a:ext>
          </a:extLst>
        </xdr:cNvPr>
        <xdr:cNvSpPr txBox="1"/>
      </xdr:nvSpPr>
      <xdr:spPr>
        <a:xfrm>
          <a:off x="8877300" y="585597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M</a:t>
          </a:fld>
          <a:endParaRPr lang="en-US" sz="800" b="1" i="0" u="none" strike="noStrike">
            <a:solidFill>
              <a:sysClr val="windowText" lastClr="000000"/>
            </a:solidFill>
            <a:latin typeface="Calibri"/>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0C00-000004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23</xdr:col>
      <xdr:colOff>457200</xdr:colOff>
      <xdr:row>37</xdr:row>
      <xdr:rowOff>114300</xdr:rowOff>
    </xdr:to>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131445</xdr:colOff>
      <xdr:row>28</xdr:row>
      <xdr:rowOff>39083</xdr:rowOff>
    </xdr:from>
    <xdr:to>
      <xdr:col>24</xdr:col>
      <xdr:colOff>9525</xdr:colOff>
      <xdr:row>28</xdr:row>
      <xdr:rowOff>161956</xdr:rowOff>
    </xdr:to>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8561070" y="5839808"/>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i="0" u="none" strike="noStrike">
              <a:solidFill>
                <a:schemeClr val="tx1">
                  <a:lumMod val="50000"/>
                  <a:lumOff val="50000"/>
                </a:schemeClr>
              </a:solidFill>
              <a:latin typeface="Calibri"/>
            </a:rPr>
            <a:t>Visitor Days </a:t>
          </a:r>
          <a:r>
            <a:rPr lang="en-US" sz="900" b="1" i="0" u="none" strike="noStrike" baseline="0">
              <a:solidFill>
                <a:schemeClr val="tx1">
                  <a:lumMod val="50000"/>
                  <a:lumOff val="50000"/>
                </a:schemeClr>
              </a:solidFill>
              <a:latin typeface="Calibri"/>
            </a:rPr>
            <a:t>by Year and Share of Total</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16" name="Rectangle 15">
          <a:extLst>
            <a:ext uri="{FF2B5EF4-FFF2-40B4-BE49-F238E27FC236}">
              <a16:creationId xmlns:a16="http://schemas.microsoft.com/office/drawing/2014/main" id="{00000000-0008-0000-0C00-000010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17764" name="Drop Down 4" hidden="1">
              <a:extLst>
                <a:ext uri="{63B3BB69-23CF-44E3-9099-C40C66FF867C}">
                  <a14:compatExt spid="_x0000_s117764"/>
                </a:ext>
                <a:ext uri="{FF2B5EF4-FFF2-40B4-BE49-F238E27FC236}">
                  <a16:creationId xmlns:a16="http://schemas.microsoft.com/office/drawing/2014/main" id="{00000000-0008-0000-0C00-000004C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8" name="Rectangle 17">
          <a:extLst>
            <a:ext uri="{FF2B5EF4-FFF2-40B4-BE49-F238E27FC236}">
              <a16:creationId xmlns:a16="http://schemas.microsoft.com/office/drawing/2014/main" id="{00000000-0008-0000-0C00-000012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17766" name="Drop Down 6" hidden="1">
              <a:extLst>
                <a:ext uri="{63B3BB69-23CF-44E3-9099-C40C66FF867C}">
                  <a14:compatExt spid="_x0000_s117766"/>
                </a:ext>
                <a:ext uri="{FF2B5EF4-FFF2-40B4-BE49-F238E27FC236}">
                  <a16:creationId xmlns:a16="http://schemas.microsoft.com/office/drawing/2014/main" id="{00000000-0008-0000-0C00-000006C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4" name="Rectangle 13">
          <a:extLst>
            <a:ext uri="{FF2B5EF4-FFF2-40B4-BE49-F238E27FC236}">
              <a16:creationId xmlns:a16="http://schemas.microsoft.com/office/drawing/2014/main" id="{00000000-0008-0000-0C00-00000E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5" name="Bent Arrow 14">
          <a:extLst>
            <a:ext uri="{FF2B5EF4-FFF2-40B4-BE49-F238E27FC236}">
              <a16:creationId xmlns:a16="http://schemas.microsoft.com/office/drawing/2014/main" id="{00000000-0008-0000-0C00-00000F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19050</xdr:colOff>
      <xdr:row>28</xdr:row>
      <xdr:rowOff>81915</xdr:rowOff>
    </xdr:from>
    <xdr:to>
      <xdr:col>18</xdr:col>
      <xdr:colOff>325754</xdr:colOff>
      <xdr:row>29</xdr:row>
      <xdr:rowOff>38101</xdr:rowOff>
    </xdr:to>
    <xdr:sp macro="" textlink="$F$16">
      <xdr:nvSpPr>
        <xdr:cNvPr id="17" name="TextBox 16">
          <a:extLst>
            <a:ext uri="{FF2B5EF4-FFF2-40B4-BE49-F238E27FC236}">
              <a16:creationId xmlns:a16="http://schemas.microsoft.com/office/drawing/2014/main" id="{00000000-0008-0000-0C00-000011000000}"/>
            </a:ext>
          </a:extLst>
        </xdr:cNvPr>
        <xdr:cNvSpPr txBox="1"/>
      </xdr:nvSpPr>
      <xdr:spPr>
        <a:xfrm>
          <a:off x="8791575" y="588264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M</a:t>
          </a:fld>
          <a:endParaRPr lang="en-US" sz="800" b="1" i="0" u="none" strike="noStrike">
            <a:solidFill>
              <a:sysClr val="windowText" lastClr="000000"/>
            </a:solidFill>
            <a:latin typeface="Calibri"/>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D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D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23</xdr:col>
      <xdr:colOff>457200</xdr:colOff>
      <xdr:row>37</xdr:row>
      <xdr:rowOff>114300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131445</xdr:colOff>
      <xdr:row>28</xdr:row>
      <xdr:rowOff>39083</xdr:rowOff>
    </xdr:from>
    <xdr:to>
      <xdr:col>24</xdr:col>
      <xdr:colOff>9525</xdr:colOff>
      <xdr:row>28</xdr:row>
      <xdr:rowOff>161956</xdr:rowOff>
    </xdr:to>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8561070" y="5839808"/>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i="0" u="none" strike="noStrike">
              <a:solidFill>
                <a:schemeClr val="tx1">
                  <a:lumMod val="50000"/>
                  <a:lumOff val="50000"/>
                </a:schemeClr>
              </a:solidFill>
              <a:latin typeface="Calibri"/>
            </a:rPr>
            <a:t>Employment</a:t>
          </a:r>
          <a:r>
            <a:rPr lang="en-US" sz="900" b="1" i="0" u="none" strike="noStrike" baseline="0">
              <a:solidFill>
                <a:schemeClr val="tx1">
                  <a:lumMod val="50000"/>
                  <a:lumOff val="50000"/>
                </a:schemeClr>
              </a:solidFill>
              <a:latin typeface="Calibri"/>
            </a:rPr>
            <a:t> (FTEs) and Share of Total (%)</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274320</xdr:colOff>
      <xdr:row>3</xdr:row>
      <xdr:rowOff>304801</xdr:rowOff>
    </xdr:from>
    <xdr:to>
      <xdr:col>21</xdr:col>
      <xdr:colOff>184560</xdr:colOff>
      <xdr:row>4</xdr:row>
      <xdr:rowOff>329521</xdr:rowOff>
    </xdr:to>
    <xdr:sp macro="" textlink="">
      <xdr:nvSpPr>
        <xdr:cNvPr id="14" name="Rectangle 13">
          <a:extLst>
            <a:ext uri="{FF2B5EF4-FFF2-40B4-BE49-F238E27FC236}">
              <a16:creationId xmlns:a16="http://schemas.microsoft.com/office/drawing/2014/main" id="{00000000-0008-0000-0D00-00000E000000}"/>
            </a:ext>
          </a:extLst>
        </xdr:cNvPr>
        <xdr:cNvSpPr/>
      </xdr:nvSpPr>
      <xdr:spPr>
        <a:xfrm>
          <a:off x="850392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175260</xdr:colOff>
          <xdr:row>4</xdr:row>
          <xdr:rowOff>22860</xdr:rowOff>
        </xdr:from>
        <xdr:to>
          <xdr:col>22</xdr:col>
          <xdr:colOff>259080</xdr:colOff>
          <xdr:row>4</xdr:row>
          <xdr:rowOff>297180</xdr:rowOff>
        </xdr:to>
        <xdr:sp macro="" textlink="">
          <xdr:nvSpPr>
            <xdr:cNvPr id="119811" name="Drop Down 3" hidden="1">
              <a:extLst>
                <a:ext uri="{63B3BB69-23CF-44E3-9099-C40C66FF867C}">
                  <a14:compatExt spid="_x0000_s119811"/>
                </a:ext>
                <a:ext uri="{FF2B5EF4-FFF2-40B4-BE49-F238E27FC236}">
                  <a16:creationId xmlns:a16="http://schemas.microsoft.com/office/drawing/2014/main" id="{00000000-0008-0000-0D00-000003D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403860</xdr:colOff>
      <xdr:row>3</xdr:row>
      <xdr:rowOff>304800</xdr:rowOff>
    </xdr:from>
    <xdr:to>
      <xdr:col>9</xdr:col>
      <xdr:colOff>411480</xdr:colOff>
      <xdr:row>4</xdr:row>
      <xdr:rowOff>329520</xdr:rowOff>
    </xdr:to>
    <xdr:sp macro="" textlink="">
      <xdr:nvSpPr>
        <xdr:cNvPr id="16" name="Rectangle 15">
          <a:extLst>
            <a:ext uri="{FF2B5EF4-FFF2-40B4-BE49-F238E27FC236}">
              <a16:creationId xmlns:a16="http://schemas.microsoft.com/office/drawing/2014/main" id="{00000000-0008-0000-0D00-000010000000}"/>
            </a:ext>
          </a:extLst>
        </xdr:cNvPr>
        <xdr:cNvSpPr/>
      </xdr:nvSpPr>
      <xdr:spPr>
        <a:xfrm>
          <a:off x="390906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144780</xdr:colOff>
          <xdr:row>4</xdr:row>
          <xdr:rowOff>297180</xdr:rowOff>
        </xdr:to>
        <xdr:sp macro="" textlink="">
          <xdr:nvSpPr>
            <xdr:cNvPr id="119812" name="Drop Down 4" hidden="1">
              <a:extLst>
                <a:ext uri="{63B3BB69-23CF-44E3-9099-C40C66FF867C}">
                  <a14:compatExt spid="_x0000_s119812"/>
                </a:ext>
                <a:ext uri="{FF2B5EF4-FFF2-40B4-BE49-F238E27FC236}">
                  <a16:creationId xmlns:a16="http://schemas.microsoft.com/office/drawing/2014/main" id="{00000000-0008-0000-0D00-000004D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5" name="Rectangle 14">
          <a:extLst>
            <a:ext uri="{FF2B5EF4-FFF2-40B4-BE49-F238E27FC236}">
              <a16:creationId xmlns:a16="http://schemas.microsoft.com/office/drawing/2014/main" id="{00000000-0008-0000-0D00-00000F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a:extLst>
            <a:ext uri="{FF2B5EF4-FFF2-40B4-BE49-F238E27FC236}">
              <a16:creationId xmlns:a16="http://schemas.microsoft.com/office/drawing/2014/main" id="{00000000-0008-0000-0D00-000011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36195</xdr:colOff>
      <xdr:row>28</xdr:row>
      <xdr:rowOff>85725</xdr:rowOff>
    </xdr:from>
    <xdr:to>
      <xdr:col>18</xdr:col>
      <xdr:colOff>342899</xdr:colOff>
      <xdr:row>29</xdr:row>
      <xdr:rowOff>41911</xdr:rowOff>
    </xdr:to>
    <xdr:sp macro="" textlink="$F$16">
      <xdr:nvSpPr>
        <xdr:cNvPr id="18" name="TextBox 17">
          <a:extLst>
            <a:ext uri="{FF2B5EF4-FFF2-40B4-BE49-F238E27FC236}">
              <a16:creationId xmlns:a16="http://schemas.microsoft.com/office/drawing/2014/main" id="{00000000-0008-0000-0D00-000012000000}"/>
            </a:ext>
          </a:extLst>
        </xdr:cNvPr>
        <xdr:cNvSpPr txBox="1"/>
      </xdr:nvSpPr>
      <xdr:spPr>
        <a:xfrm>
          <a:off x="8808720" y="588645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FTEs</a:t>
          </a:fld>
          <a:endParaRPr lang="en-US" sz="800" b="1" i="0" u="none" strike="noStrike">
            <a:solidFill>
              <a:sysClr val="windowText" lastClr="000000"/>
            </a:solidFill>
            <a:latin typeface="Calibri"/>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6143625" y="1019175"/>
          <a:ext cx="17961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5" name="Rectangle 4">
          <a:extLst>
            <a:ext uri="{FF2B5EF4-FFF2-40B4-BE49-F238E27FC236}">
              <a16:creationId xmlns:a16="http://schemas.microsoft.com/office/drawing/2014/main" id="{00000000-0008-0000-0E00-000005000000}"/>
            </a:ext>
          </a:extLst>
        </xdr:cNvPr>
        <xdr:cNvSpPr/>
      </xdr:nvSpPr>
      <xdr:spPr>
        <a:xfrm>
          <a:off x="6143625" y="866776"/>
          <a:ext cx="17961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2022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6" name="Picture 5" descr="logovvsm.jpg">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7" name="TextBox 6">
          <a:extLst>
            <a:ext uri="{FF2B5EF4-FFF2-40B4-BE49-F238E27FC236}">
              <a16:creationId xmlns:a16="http://schemas.microsoft.com/office/drawing/2014/main" id="{00000000-0008-0000-0E00-000007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2" tooltip="Home - Navigation Page"/>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229377" name="Drop Down 1" hidden="1">
              <a:extLst>
                <a:ext uri="{63B3BB69-23CF-44E3-9099-C40C66FF867C}">
                  <a14:compatExt spid="_x0000_s229377"/>
                </a:ext>
                <a:ext uri="{FF2B5EF4-FFF2-40B4-BE49-F238E27FC236}">
                  <a16:creationId xmlns:a16="http://schemas.microsoft.com/office/drawing/2014/main" id="{00000000-0008-0000-0E00-0000018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1" name="Rectangle 10">
          <a:extLst>
            <a:ext uri="{FF2B5EF4-FFF2-40B4-BE49-F238E27FC236}">
              <a16:creationId xmlns:a16="http://schemas.microsoft.com/office/drawing/2014/main" id="{00000000-0008-0000-0E00-00000B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a:extLst>
            <a:ext uri="{FF2B5EF4-FFF2-40B4-BE49-F238E27FC236}">
              <a16:creationId xmlns:a16="http://schemas.microsoft.com/office/drawing/2014/main" id="{00000000-0008-0000-0E00-00000C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14" name="Rectangle 13">
          <a:extLst>
            <a:ext uri="{FF2B5EF4-FFF2-40B4-BE49-F238E27FC236}">
              <a16:creationId xmlns:a16="http://schemas.microsoft.com/office/drawing/2014/main" id="{00000000-0008-0000-0E00-00000E000000}"/>
            </a:ext>
          </a:extLst>
        </xdr:cNvPr>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335280</xdr:colOff>
          <xdr:row>4</xdr:row>
          <xdr:rowOff>22860</xdr:rowOff>
        </xdr:from>
        <xdr:to>
          <xdr:col>7</xdr:col>
          <xdr:colOff>198120</xdr:colOff>
          <xdr:row>4</xdr:row>
          <xdr:rowOff>297180</xdr:rowOff>
        </xdr:to>
        <xdr:sp macro="" textlink="">
          <xdr:nvSpPr>
            <xdr:cNvPr id="229378" name="Drop Down 2" hidden="1">
              <a:extLst>
                <a:ext uri="{63B3BB69-23CF-44E3-9099-C40C66FF867C}">
                  <a14:compatExt spid="_x0000_s229378"/>
                </a:ext>
                <a:ext uri="{FF2B5EF4-FFF2-40B4-BE49-F238E27FC236}">
                  <a16:creationId xmlns:a16="http://schemas.microsoft.com/office/drawing/2014/main" id="{00000000-0008-0000-0E00-0000028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142875</xdr:colOff>
      <xdr:row>7</xdr:row>
      <xdr:rowOff>76200</xdr:rowOff>
    </xdr:from>
    <xdr:to>
      <xdr:col>23</xdr:col>
      <xdr:colOff>342900</xdr:colOff>
      <xdr:row>30</xdr:row>
      <xdr:rowOff>66675</xdr:rowOff>
    </xdr:to>
    <xdr:graphicFrame macro="">
      <xdr:nvGraphicFramePr>
        <xdr:cNvPr id="10" name="Chart 9">
          <a:extLst>
            <a:ext uri="{FF2B5EF4-FFF2-40B4-BE49-F238E27FC236}">
              <a16:creationId xmlns:a16="http://schemas.microsoft.com/office/drawing/2014/main" id="{00000000-0008-0000-0E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F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F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274320</xdr:colOff>
      <xdr:row>3</xdr:row>
      <xdr:rowOff>304801</xdr:rowOff>
    </xdr:from>
    <xdr:to>
      <xdr:col>21</xdr:col>
      <xdr:colOff>184560</xdr:colOff>
      <xdr:row>4</xdr:row>
      <xdr:rowOff>329521</xdr:rowOff>
    </xdr:to>
    <xdr:sp macro="" textlink="">
      <xdr:nvSpPr>
        <xdr:cNvPr id="10" name="Rectangle 9">
          <a:extLst>
            <a:ext uri="{FF2B5EF4-FFF2-40B4-BE49-F238E27FC236}">
              <a16:creationId xmlns:a16="http://schemas.microsoft.com/office/drawing/2014/main" id="{00000000-0008-0000-0F00-00000A000000}"/>
            </a:ext>
          </a:extLst>
        </xdr:cNvPr>
        <xdr:cNvSpPr/>
      </xdr:nvSpPr>
      <xdr:spPr>
        <a:xfrm>
          <a:off x="850392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175260</xdr:colOff>
          <xdr:row>4</xdr:row>
          <xdr:rowOff>22860</xdr:rowOff>
        </xdr:from>
        <xdr:to>
          <xdr:col>22</xdr:col>
          <xdr:colOff>259080</xdr:colOff>
          <xdr:row>4</xdr:row>
          <xdr:rowOff>297180</xdr:rowOff>
        </xdr:to>
        <xdr:sp macro="" textlink="">
          <xdr:nvSpPr>
            <xdr:cNvPr id="126977" name="Drop Down 1" hidden="1">
              <a:extLst>
                <a:ext uri="{63B3BB69-23CF-44E3-9099-C40C66FF867C}">
                  <a14:compatExt spid="_x0000_s126977"/>
                </a:ext>
                <a:ext uri="{FF2B5EF4-FFF2-40B4-BE49-F238E27FC236}">
                  <a16:creationId xmlns:a16="http://schemas.microsoft.com/office/drawing/2014/main" id="{00000000-0008-0000-0F00-000001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304800</xdr:colOff>
      <xdr:row>4</xdr:row>
      <xdr:rowOff>0</xdr:rowOff>
    </xdr:from>
    <xdr:to>
      <xdr:col>16</xdr:col>
      <xdr:colOff>138840</xdr:colOff>
      <xdr:row>4</xdr:row>
      <xdr:rowOff>327660</xdr:rowOff>
    </xdr:to>
    <xdr:sp macro="" textlink="">
      <xdr:nvSpPr>
        <xdr:cNvPr id="14" name="Rectangle 13">
          <a:extLst>
            <a:ext uri="{FF2B5EF4-FFF2-40B4-BE49-F238E27FC236}">
              <a16:creationId xmlns:a16="http://schemas.microsoft.com/office/drawing/2014/main" id="{00000000-0008-0000-0F00-00000E000000}"/>
            </a:ext>
          </a:extLst>
        </xdr:cNvPr>
        <xdr:cNvSpPr/>
      </xdr:nvSpPr>
      <xdr:spPr>
        <a:xfrm>
          <a:off x="6644640" y="876300"/>
          <a:ext cx="1251360" cy="32766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mc:AlternateContent xmlns:mc="http://schemas.openxmlformats.org/markup-compatibility/2006">
    <mc:Choice xmlns:a14="http://schemas.microsoft.com/office/drawing/2010/main" Requires="a14">
      <xdr:twoCellAnchor editAs="oneCell">
        <xdr:from>
          <xdr:col>16</xdr:col>
          <xdr:colOff>68580</xdr:colOff>
          <xdr:row>4</xdr:row>
          <xdr:rowOff>22860</xdr:rowOff>
        </xdr:from>
        <xdr:to>
          <xdr:col>17</xdr:col>
          <xdr:colOff>289560</xdr:colOff>
          <xdr:row>4</xdr:row>
          <xdr:rowOff>297180</xdr:rowOff>
        </xdr:to>
        <xdr:sp macro="" textlink="">
          <xdr:nvSpPr>
            <xdr:cNvPr id="126979" name="Drop Down 3" hidden="1">
              <a:extLst>
                <a:ext uri="{63B3BB69-23CF-44E3-9099-C40C66FF867C}">
                  <a14:compatExt spid="_x0000_s126979"/>
                </a:ext>
                <a:ext uri="{FF2B5EF4-FFF2-40B4-BE49-F238E27FC236}">
                  <a16:creationId xmlns:a16="http://schemas.microsoft.com/office/drawing/2014/main" id="{00000000-0008-0000-0F00-000003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22860</xdr:colOff>
      <xdr:row>4</xdr:row>
      <xdr:rowOff>0</xdr:rowOff>
    </xdr:from>
    <xdr:to>
      <xdr:col>6</xdr:col>
      <xdr:colOff>0</xdr:colOff>
      <xdr:row>4</xdr:row>
      <xdr:rowOff>327660</xdr:rowOff>
    </xdr:to>
    <xdr:sp macro="" textlink="">
      <xdr:nvSpPr>
        <xdr:cNvPr id="16" name="Rectangle 15">
          <a:extLst>
            <a:ext uri="{FF2B5EF4-FFF2-40B4-BE49-F238E27FC236}">
              <a16:creationId xmlns:a16="http://schemas.microsoft.com/office/drawing/2014/main" id="{00000000-0008-0000-0F00-000010000000}"/>
            </a:ext>
          </a:extLst>
        </xdr:cNvPr>
        <xdr:cNvSpPr/>
      </xdr:nvSpPr>
      <xdr:spPr>
        <a:xfrm>
          <a:off x="131826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6</xdr:col>
          <xdr:colOff>7620</xdr:colOff>
          <xdr:row>4</xdr:row>
          <xdr:rowOff>22860</xdr:rowOff>
        </xdr:from>
        <xdr:to>
          <xdr:col>7</xdr:col>
          <xdr:colOff>220980</xdr:colOff>
          <xdr:row>4</xdr:row>
          <xdr:rowOff>297180</xdr:rowOff>
        </xdr:to>
        <xdr:sp macro="" textlink="">
          <xdr:nvSpPr>
            <xdr:cNvPr id="126980" name="Drop Down 4" hidden="1">
              <a:extLst>
                <a:ext uri="{63B3BB69-23CF-44E3-9099-C40C66FF867C}">
                  <a14:compatExt spid="_x0000_s126980"/>
                </a:ext>
                <a:ext uri="{FF2B5EF4-FFF2-40B4-BE49-F238E27FC236}">
                  <a16:creationId xmlns:a16="http://schemas.microsoft.com/office/drawing/2014/main" id="{00000000-0008-0000-0F00-000004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22860</xdr:colOff>
      <xdr:row>7</xdr:row>
      <xdr:rowOff>15240</xdr:rowOff>
    </xdr:from>
    <xdr:to>
      <xdr:col>23</xdr:col>
      <xdr:colOff>449580</xdr:colOff>
      <xdr:row>20</xdr:row>
      <xdr:rowOff>160020</xdr:rowOff>
    </xdr:to>
    <xdr:graphicFrame macro="">
      <xdr:nvGraphicFramePr>
        <xdr:cNvPr id="11" name="Chart 10">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236220</xdr:colOff>
      <xdr:row>1</xdr:row>
      <xdr:rowOff>91440</xdr:rowOff>
    </xdr:from>
    <xdr:to>
      <xdr:col>22</xdr:col>
      <xdr:colOff>182880</xdr:colOff>
      <xdr:row>2</xdr:row>
      <xdr:rowOff>190500</xdr:rowOff>
    </xdr:to>
    <xdr:sp macro="" textlink="">
      <xdr:nvSpPr>
        <xdr:cNvPr id="15" name="Rectangle 14">
          <a:extLst>
            <a:ext uri="{FF2B5EF4-FFF2-40B4-BE49-F238E27FC236}">
              <a16:creationId xmlns:a16="http://schemas.microsoft.com/office/drawing/2014/main" id="{00000000-0008-0000-0F00-00000F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a:extLst>
            <a:ext uri="{FF2B5EF4-FFF2-40B4-BE49-F238E27FC236}">
              <a16:creationId xmlns:a16="http://schemas.microsoft.com/office/drawing/2014/main" id="{00000000-0008-0000-0F00-000011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20</xdr:col>
      <xdr:colOff>22860</xdr:colOff>
      <xdr:row>9</xdr:row>
      <xdr:rowOff>76200</xdr:rowOff>
    </xdr:from>
    <xdr:to>
      <xdr:col>22</xdr:col>
      <xdr:colOff>68580</xdr:colOff>
      <xdr:row>10</xdr:row>
      <xdr:rowOff>182880</xdr:rowOff>
    </xdr:to>
    <xdr:sp macro="" textlink="$U$10">
      <xdr:nvSpPr>
        <xdr:cNvPr id="6" name="TextBox 5">
          <a:extLst>
            <a:ext uri="{FF2B5EF4-FFF2-40B4-BE49-F238E27FC236}">
              <a16:creationId xmlns:a16="http://schemas.microsoft.com/office/drawing/2014/main" id="{00000000-0008-0000-0F00-000006000000}"/>
            </a:ext>
          </a:extLst>
        </xdr:cNvPr>
        <xdr:cNvSpPr txBox="1"/>
      </xdr:nvSpPr>
      <xdr:spPr>
        <a:xfrm>
          <a:off x="9669780" y="2110740"/>
          <a:ext cx="99060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C82F7C8-018C-4E24-BE2C-AF3B13B0C8BD}" type="TxLink">
            <a:rPr lang="en-US" sz="900" b="1" i="0" u="none" strike="noStrike">
              <a:solidFill>
                <a:schemeClr val="tx2"/>
              </a:solidFill>
              <a:latin typeface="Calibri"/>
            </a:rPr>
            <a:pPr algn="ctr"/>
            <a:t>Accommodation (15.7%)</a:t>
          </a:fld>
          <a:endParaRPr lang="en-GB" sz="900" b="1">
            <a:solidFill>
              <a:schemeClr val="tx2"/>
            </a:solidFill>
          </a:endParaRPr>
        </a:p>
      </xdr:txBody>
    </xdr:sp>
    <xdr:clientData/>
  </xdr:twoCellAnchor>
  <xdr:twoCellAnchor>
    <xdr:from>
      <xdr:col>18</xdr:col>
      <xdr:colOff>15240</xdr:colOff>
      <xdr:row>22</xdr:row>
      <xdr:rowOff>15240</xdr:rowOff>
    </xdr:from>
    <xdr:to>
      <xdr:col>23</xdr:col>
      <xdr:colOff>441960</xdr:colOff>
      <xdr:row>35</xdr:row>
      <xdr:rowOff>160020</xdr:rowOff>
    </xdr:to>
    <xdr:graphicFrame macro="">
      <xdr:nvGraphicFramePr>
        <xdr:cNvPr id="21" name="Chart 20">
          <a:extLst>
            <a:ext uri="{FF2B5EF4-FFF2-40B4-BE49-F238E27FC236}">
              <a16:creationId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66675</xdr:colOff>
      <xdr:row>22</xdr:row>
      <xdr:rowOff>76200</xdr:rowOff>
    </xdr:from>
    <xdr:to>
      <xdr:col>23</xdr:col>
      <xdr:colOff>403860</xdr:colOff>
      <xdr:row>23</xdr:row>
      <xdr:rowOff>149075</xdr:rowOff>
    </xdr:to>
    <xdr:sp macro="" textlink="$E$23">
      <xdr:nvSpPr>
        <xdr:cNvPr id="22" name="TextBox 19">
          <a:extLst>
            <a:ext uri="{FF2B5EF4-FFF2-40B4-BE49-F238E27FC236}">
              <a16:creationId xmlns:a16="http://schemas.microsoft.com/office/drawing/2014/main" id="{00000000-0008-0000-0F00-000016000000}"/>
            </a:ext>
          </a:extLst>
        </xdr:cNvPr>
        <xdr:cNvSpPr txBox="1"/>
      </xdr:nvSpPr>
      <xdr:spPr>
        <a:xfrm>
          <a:off x="8953500" y="4476750"/>
          <a:ext cx="2165985" cy="272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9D1E3D1-2544-4FD7-8D4B-177A621169DB}" type="TxLink">
            <a:rPr lang="en-US" sz="1000" b="1" i="0" u="none" strike="noStrike">
              <a:solidFill>
                <a:schemeClr val="accent6">
                  <a:lumMod val="50000"/>
                </a:schemeClr>
              </a:solidFill>
              <a:latin typeface="Calibri"/>
            </a:rPr>
            <a:pPr algn="ctr"/>
            <a:t>SECTORAL DISTRIBUTION OF EMPLOYMENT - FTES</a:t>
          </a:fld>
          <a:endParaRPr lang="en-GB" sz="1000">
            <a:solidFill>
              <a:schemeClr val="accent6">
                <a:lumMod val="50000"/>
              </a:schemeClr>
            </a:solidFill>
          </a:endParaRPr>
        </a:p>
      </xdr:txBody>
    </xdr:sp>
    <xdr:clientData/>
  </xdr:twoCellAnchor>
  <xdr:twoCellAnchor>
    <xdr:from>
      <xdr:col>18</xdr:col>
      <xdr:colOff>41910</xdr:colOff>
      <xdr:row>22</xdr:row>
      <xdr:rowOff>20806</xdr:rowOff>
    </xdr:from>
    <xdr:to>
      <xdr:col>19</xdr:col>
      <xdr:colOff>54499</xdr:colOff>
      <xdr:row>23</xdr:row>
      <xdr:rowOff>93681</xdr:rowOff>
    </xdr:to>
    <xdr:sp macro="" textlink="$S$24">
      <xdr:nvSpPr>
        <xdr:cNvPr id="23" name="TextBox 19">
          <a:extLst>
            <a:ext uri="{FF2B5EF4-FFF2-40B4-BE49-F238E27FC236}">
              <a16:creationId xmlns:a16="http://schemas.microsoft.com/office/drawing/2014/main" id="{00000000-0008-0000-0F00-000017000000}"/>
            </a:ext>
          </a:extLst>
        </xdr:cNvPr>
        <xdr:cNvSpPr txBox="1"/>
      </xdr:nvSpPr>
      <xdr:spPr>
        <a:xfrm>
          <a:off x="8471535" y="4421356"/>
          <a:ext cx="469789" cy="272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3706FA83-C796-4819-8A01-40886B4A07D5}" type="TxLink">
            <a:rPr lang="en-US" sz="1600" b="1" i="0" u="none" strike="noStrike">
              <a:solidFill>
                <a:schemeClr val="accent6">
                  <a:lumMod val="50000"/>
                </a:schemeClr>
              </a:solidFill>
              <a:latin typeface="Calibri"/>
            </a:rPr>
            <a:pPr/>
            <a:t>2022</a:t>
          </a:fld>
          <a:endParaRPr lang="en-GB" sz="1600">
            <a:solidFill>
              <a:schemeClr val="accent6">
                <a:lumMod val="50000"/>
              </a:schemeClr>
            </a:solidFill>
          </a:endParaRPr>
        </a:p>
      </xdr:txBody>
    </xdr:sp>
    <xdr:clientData/>
  </xdr:twoCellAnchor>
  <xdr:twoCellAnchor>
    <xdr:from>
      <xdr:col>22</xdr:col>
      <xdr:colOff>167640</xdr:colOff>
      <xdr:row>11</xdr:row>
      <xdr:rowOff>7620</xdr:rowOff>
    </xdr:from>
    <xdr:to>
      <xdr:col>23</xdr:col>
      <xdr:colOff>449580</xdr:colOff>
      <xdr:row>12</xdr:row>
      <xdr:rowOff>114300</xdr:rowOff>
    </xdr:to>
    <xdr:sp macro="" textlink="$U$11">
      <xdr:nvSpPr>
        <xdr:cNvPr id="24" name="TextBox 23">
          <a:extLst>
            <a:ext uri="{FF2B5EF4-FFF2-40B4-BE49-F238E27FC236}">
              <a16:creationId xmlns:a16="http://schemas.microsoft.com/office/drawing/2014/main" id="{00000000-0008-0000-0F00-000018000000}"/>
            </a:ext>
          </a:extLst>
        </xdr:cNvPr>
        <xdr:cNvSpPr txBox="1"/>
      </xdr:nvSpPr>
      <xdr:spPr>
        <a:xfrm>
          <a:off x="10759440" y="2453640"/>
          <a:ext cx="75438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A71BDD8-B9FD-420D-A32D-15B0E0F737FE}" type="TxLink">
            <a:rPr lang="en-US" sz="900" b="1" i="0" u="none" strike="noStrike">
              <a:solidFill>
                <a:schemeClr val="accent2"/>
              </a:solidFill>
              <a:latin typeface="Calibri"/>
            </a:rPr>
            <a:pPr algn="ctr"/>
            <a:t>Food &amp; Drink (15.1%)</a:t>
          </a:fld>
          <a:endParaRPr lang="en-GB" sz="900" b="1">
            <a:solidFill>
              <a:schemeClr val="accent2"/>
            </a:solidFill>
          </a:endParaRPr>
        </a:p>
      </xdr:txBody>
    </xdr:sp>
    <xdr:clientData/>
  </xdr:twoCellAnchor>
  <xdr:twoCellAnchor>
    <xdr:from>
      <xdr:col>22</xdr:col>
      <xdr:colOff>283845</xdr:colOff>
      <xdr:row>16</xdr:row>
      <xdr:rowOff>112395</xdr:rowOff>
    </xdr:from>
    <xdr:to>
      <xdr:col>24</xdr:col>
      <xdr:colOff>93345</xdr:colOff>
      <xdr:row>18</xdr:row>
      <xdr:rowOff>13335</xdr:rowOff>
    </xdr:to>
    <xdr:sp macro="" textlink="$U$12">
      <xdr:nvSpPr>
        <xdr:cNvPr id="25" name="TextBox 24">
          <a:extLst>
            <a:ext uri="{FF2B5EF4-FFF2-40B4-BE49-F238E27FC236}">
              <a16:creationId xmlns:a16="http://schemas.microsoft.com/office/drawing/2014/main" id="{00000000-0008-0000-0F00-000019000000}"/>
            </a:ext>
          </a:extLst>
        </xdr:cNvPr>
        <xdr:cNvSpPr txBox="1"/>
      </xdr:nvSpPr>
      <xdr:spPr>
        <a:xfrm>
          <a:off x="10542270" y="3512820"/>
          <a:ext cx="723900" cy="300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8F0391D-4787-4B25-990C-7BF95AFEB69B}" type="TxLink">
            <a:rPr lang="en-US" sz="900" b="1" i="0" u="none" strike="noStrike">
              <a:solidFill>
                <a:schemeClr val="accent6">
                  <a:lumMod val="75000"/>
                </a:schemeClr>
              </a:solidFill>
              <a:latin typeface="Calibri"/>
            </a:rPr>
            <a:pPr algn="ctr"/>
            <a:t>Recreation (5.0%)</a:t>
          </a:fld>
          <a:endParaRPr lang="en-GB" sz="900" b="1">
            <a:solidFill>
              <a:schemeClr val="accent6">
                <a:lumMod val="75000"/>
              </a:schemeClr>
            </a:solidFill>
          </a:endParaRPr>
        </a:p>
      </xdr:txBody>
    </xdr:sp>
    <xdr:clientData/>
  </xdr:twoCellAnchor>
  <xdr:twoCellAnchor>
    <xdr:from>
      <xdr:col>21</xdr:col>
      <xdr:colOff>278130</xdr:colOff>
      <xdr:row>19</xdr:row>
      <xdr:rowOff>121920</xdr:rowOff>
    </xdr:from>
    <xdr:to>
      <xdr:col>23</xdr:col>
      <xdr:colOff>87630</xdr:colOff>
      <xdr:row>22</xdr:row>
      <xdr:rowOff>22860</xdr:rowOff>
    </xdr:to>
    <xdr:sp macro="" textlink="$U$13">
      <xdr:nvSpPr>
        <xdr:cNvPr id="26" name="TextBox 25">
          <a:extLst>
            <a:ext uri="{FF2B5EF4-FFF2-40B4-BE49-F238E27FC236}">
              <a16:creationId xmlns:a16="http://schemas.microsoft.com/office/drawing/2014/main" id="{00000000-0008-0000-0F00-00001A000000}"/>
            </a:ext>
          </a:extLst>
        </xdr:cNvPr>
        <xdr:cNvSpPr txBox="1"/>
      </xdr:nvSpPr>
      <xdr:spPr>
        <a:xfrm>
          <a:off x="10079355" y="4122420"/>
          <a:ext cx="723900" cy="300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4F619D6C-0836-40A8-A0C5-6AA8FC34234F}" type="TxLink">
            <a:rPr lang="en-US" sz="900" b="1" i="0" u="none" strike="noStrike">
              <a:solidFill>
                <a:srgbClr val="558ED5"/>
              </a:solidFill>
              <a:latin typeface="Calibri"/>
            </a:rPr>
            <a:pPr algn="ctr"/>
            <a:t>Shopping (19.8%)</a:t>
          </a:fld>
          <a:endParaRPr lang="en-GB" sz="900" b="1">
            <a:solidFill>
              <a:srgbClr val="558ED5"/>
            </a:solidFill>
          </a:endParaRPr>
        </a:p>
      </xdr:txBody>
    </xdr:sp>
    <xdr:clientData/>
  </xdr:twoCellAnchor>
  <xdr:twoCellAnchor>
    <xdr:from>
      <xdr:col>18</xdr:col>
      <xdr:colOff>379095</xdr:colOff>
      <xdr:row>20</xdr:row>
      <xdr:rowOff>17145</xdr:rowOff>
    </xdr:from>
    <xdr:to>
      <xdr:col>20</xdr:col>
      <xdr:colOff>188595</xdr:colOff>
      <xdr:row>21</xdr:row>
      <xdr:rowOff>123825</xdr:rowOff>
    </xdr:to>
    <xdr:sp macro="" textlink="$U$14">
      <xdr:nvSpPr>
        <xdr:cNvPr id="27" name="TextBox 26">
          <a:extLst>
            <a:ext uri="{FF2B5EF4-FFF2-40B4-BE49-F238E27FC236}">
              <a16:creationId xmlns:a16="http://schemas.microsoft.com/office/drawing/2014/main" id="{00000000-0008-0000-0F00-00001B000000}"/>
            </a:ext>
          </a:extLst>
        </xdr:cNvPr>
        <xdr:cNvSpPr txBox="1"/>
      </xdr:nvSpPr>
      <xdr:spPr>
        <a:xfrm>
          <a:off x="9151620" y="4217670"/>
          <a:ext cx="781050" cy="306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C8D78F31-F3B3-49E5-91A7-9A9FE2B1D247}" type="TxLink">
            <a:rPr lang="en-US" sz="900" b="1" i="0" u="none" strike="noStrike">
              <a:solidFill>
                <a:schemeClr val="accent4">
                  <a:lumMod val="60000"/>
                  <a:lumOff val="40000"/>
                </a:schemeClr>
              </a:solidFill>
              <a:latin typeface="Calibri"/>
              <a:ea typeface="+mn-ea"/>
              <a:cs typeface="+mn-cs"/>
            </a:rPr>
            <a:pPr marL="0" indent="0" algn="ctr"/>
            <a:t>Transport (6.7%)</a:t>
          </a:fld>
          <a:endParaRPr lang="en-GB" sz="900" b="1" i="0" u="none" strike="noStrike">
            <a:solidFill>
              <a:schemeClr val="accent4">
                <a:lumMod val="60000"/>
                <a:lumOff val="40000"/>
              </a:schemeClr>
            </a:solidFill>
            <a:latin typeface="Calibri"/>
            <a:ea typeface="+mn-ea"/>
            <a:cs typeface="+mn-cs"/>
          </a:endParaRPr>
        </a:p>
      </xdr:txBody>
    </xdr:sp>
    <xdr:clientData/>
  </xdr:twoCellAnchor>
  <xdr:twoCellAnchor>
    <xdr:from>
      <xdr:col>18</xdr:col>
      <xdr:colOff>9525</xdr:colOff>
      <xdr:row>15</xdr:row>
      <xdr:rowOff>161925</xdr:rowOff>
    </xdr:from>
    <xdr:to>
      <xdr:col>19</xdr:col>
      <xdr:colOff>70485</xdr:colOff>
      <xdr:row>17</xdr:row>
      <xdr:rowOff>68580</xdr:rowOff>
    </xdr:to>
    <xdr:sp macro="" textlink="$U$16">
      <xdr:nvSpPr>
        <xdr:cNvPr id="28" name="TextBox 27">
          <a:extLst>
            <a:ext uri="{FF2B5EF4-FFF2-40B4-BE49-F238E27FC236}">
              <a16:creationId xmlns:a16="http://schemas.microsoft.com/office/drawing/2014/main" id="{00000000-0008-0000-0F00-00001C000000}"/>
            </a:ext>
          </a:extLst>
        </xdr:cNvPr>
        <xdr:cNvSpPr txBox="1"/>
      </xdr:nvSpPr>
      <xdr:spPr>
        <a:xfrm>
          <a:off x="8439150" y="3362325"/>
          <a:ext cx="518160" cy="306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F1260871-C66B-4D55-AFC9-0D518517A725}" type="TxLink">
            <a:rPr lang="en-US" sz="900" b="1" i="0" u="none" strike="noStrike">
              <a:solidFill>
                <a:schemeClr val="tx1">
                  <a:lumMod val="50000"/>
                  <a:lumOff val="50000"/>
                </a:schemeClr>
              </a:solidFill>
              <a:latin typeface="Calibri"/>
              <a:ea typeface="+mn-ea"/>
              <a:cs typeface="+mn-cs"/>
            </a:rPr>
            <a:pPr marL="0" indent="0" algn="ctr"/>
            <a:t>VAT (12.1%)</a:t>
          </a:fld>
          <a:endParaRPr lang="en-GB" sz="900" b="1" i="0" u="none" strike="noStrike">
            <a:solidFill>
              <a:schemeClr val="tx1">
                <a:lumMod val="50000"/>
                <a:lumOff val="50000"/>
              </a:schemeClr>
            </a:solidFill>
            <a:latin typeface="Calibri"/>
            <a:ea typeface="+mn-ea"/>
            <a:cs typeface="+mn-cs"/>
          </a:endParaRPr>
        </a:p>
      </xdr:txBody>
    </xdr:sp>
    <xdr:clientData/>
  </xdr:twoCellAnchor>
  <xdr:twoCellAnchor>
    <xdr:from>
      <xdr:col>17</xdr:col>
      <xdr:colOff>409575</xdr:colOff>
      <xdr:row>10</xdr:row>
      <xdr:rowOff>102870</xdr:rowOff>
    </xdr:from>
    <xdr:to>
      <xdr:col>20</xdr:col>
      <xdr:colOff>150495</xdr:colOff>
      <xdr:row>12</xdr:row>
      <xdr:rowOff>19050</xdr:rowOff>
    </xdr:to>
    <xdr:sp macro="" textlink="$U$18">
      <xdr:nvSpPr>
        <xdr:cNvPr id="29" name="TextBox 28">
          <a:extLst>
            <a:ext uri="{FF2B5EF4-FFF2-40B4-BE49-F238E27FC236}">
              <a16:creationId xmlns:a16="http://schemas.microsoft.com/office/drawing/2014/main" id="{00000000-0008-0000-0F00-00001D000000}"/>
            </a:ext>
          </a:extLst>
        </xdr:cNvPr>
        <xdr:cNvSpPr txBox="1"/>
      </xdr:nvSpPr>
      <xdr:spPr>
        <a:xfrm>
          <a:off x="8382000" y="2303145"/>
          <a:ext cx="1112520" cy="316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C9CE049A-2245-4771-B491-6B8982D45A3E}" type="TxLink">
            <a:rPr lang="en-US" sz="900" b="1" i="0" u="none" strike="noStrike">
              <a:solidFill>
                <a:schemeClr val="accent3">
                  <a:lumMod val="75000"/>
                </a:schemeClr>
              </a:solidFill>
              <a:latin typeface="Calibri"/>
              <a:ea typeface="+mn-ea"/>
              <a:cs typeface="+mn-cs"/>
            </a:rPr>
            <a:pPr marL="0" indent="0" algn="ctr"/>
            <a:t>Indirect Expenditure (25.8%)</a:t>
          </a:fld>
          <a:endParaRPr lang="en-GB" sz="900" b="1" i="0" u="none" strike="noStrike">
            <a:solidFill>
              <a:schemeClr val="accent3">
                <a:lumMod val="75000"/>
              </a:schemeClr>
            </a:solidFill>
            <a:latin typeface="Calibri"/>
            <a:ea typeface="+mn-ea"/>
            <a:cs typeface="+mn-cs"/>
          </a:endParaRPr>
        </a:p>
      </xdr:txBody>
    </xdr:sp>
    <xdr:clientData/>
  </xdr:twoCellAnchor>
  <xdr:twoCellAnchor>
    <xdr:from>
      <xdr:col>19</xdr:col>
      <xdr:colOff>57150</xdr:colOff>
      <xdr:row>7</xdr:row>
      <xdr:rowOff>68580</xdr:rowOff>
    </xdr:from>
    <xdr:to>
      <xdr:col>23</xdr:col>
      <xdr:colOff>411480</xdr:colOff>
      <xdr:row>9</xdr:row>
      <xdr:rowOff>66675</xdr:rowOff>
    </xdr:to>
    <xdr:sp macro="" textlink="$E$8">
      <xdr:nvSpPr>
        <xdr:cNvPr id="30" name="TextBox 19">
          <a:extLst>
            <a:ext uri="{FF2B5EF4-FFF2-40B4-BE49-F238E27FC236}">
              <a16:creationId xmlns:a16="http://schemas.microsoft.com/office/drawing/2014/main" id="{00000000-0008-0000-0F00-00001E000000}"/>
            </a:ext>
          </a:extLst>
        </xdr:cNvPr>
        <xdr:cNvSpPr txBox="1"/>
      </xdr:nvSpPr>
      <xdr:spPr>
        <a:xfrm>
          <a:off x="8943975" y="1668780"/>
          <a:ext cx="2183130" cy="39814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7461CA4-CEF5-4F50-9148-3A5031C4F860}" type="TxLink">
            <a:rPr lang="en-US" sz="1000" b="1" i="0" u="none" strike="noStrike">
              <a:solidFill>
                <a:schemeClr val="accent1"/>
              </a:solidFill>
              <a:latin typeface="Calibri"/>
            </a:rPr>
            <a:pPr algn="ctr"/>
            <a:t>SECTORAL DISTRIBUTION OF ECONOMIC IMPACT - £BN INCLUDING VAT IN HISTORIC PRICES </a:t>
          </a:fld>
          <a:endParaRPr lang="en-GB" sz="1000">
            <a:solidFill>
              <a:schemeClr val="accent1"/>
            </a:solidFill>
          </a:endParaRPr>
        </a:p>
      </xdr:txBody>
    </xdr:sp>
    <xdr:clientData/>
  </xdr:twoCellAnchor>
  <xdr:twoCellAnchor>
    <xdr:from>
      <xdr:col>20</xdr:col>
      <xdr:colOff>133350</xdr:colOff>
      <xdr:row>35</xdr:row>
      <xdr:rowOff>171450</xdr:rowOff>
    </xdr:from>
    <xdr:to>
      <xdr:col>21</xdr:col>
      <xdr:colOff>405194</xdr:colOff>
      <xdr:row>37</xdr:row>
      <xdr:rowOff>113632</xdr:rowOff>
    </xdr:to>
    <xdr:sp macro="" textlink="'SECTORAL ANALYSIS'!$U$28">
      <xdr:nvSpPr>
        <xdr:cNvPr id="32" name="TextBox 19">
          <a:extLst>
            <a:ext uri="{FF2B5EF4-FFF2-40B4-BE49-F238E27FC236}">
              <a16:creationId xmlns:a16="http://schemas.microsoft.com/office/drawing/2014/main" id="{00000000-0008-0000-0F00-000020000000}"/>
            </a:ext>
          </a:extLst>
        </xdr:cNvPr>
        <xdr:cNvSpPr txBox="1"/>
      </xdr:nvSpPr>
      <xdr:spPr>
        <a:xfrm>
          <a:off x="9877425" y="7372350"/>
          <a:ext cx="757619" cy="342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37ADD4B-99B7-43DF-8F24-B7C7080E887D}" type="TxLink">
            <a:rPr lang="en-US" sz="900" b="1" i="0" u="none" strike="noStrike">
              <a:solidFill>
                <a:schemeClr val="tx2">
                  <a:lumMod val="60000"/>
                  <a:lumOff val="40000"/>
                </a:schemeClr>
              </a:solidFill>
              <a:latin typeface="Calibri"/>
              <a:ea typeface="+mn-ea"/>
              <a:cs typeface="+mn-cs"/>
            </a:rPr>
            <a:pPr marL="0" indent="0" algn="ctr"/>
            <a:t>Shopping (21.5%)</a:t>
          </a:fld>
          <a:endParaRPr lang="en-GB" sz="900" b="1" i="0" u="none" strike="noStrike">
            <a:solidFill>
              <a:schemeClr val="tx2">
                <a:lumMod val="60000"/>
                <a:lumOff val="40000"/>
              </a:schemeClr>
            </a:solidFill>
            <a:latin typeface="Calibri"/>
            <a:ea typeface="+mn-ea"/>
            <a:cs typeface="+mn-cs"/>
          </a:endParaRP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cdr:x>
      <cdr:y>0</cdr:y>
    </cdr:from>
    <cdr:to>
      <cdr:x>0.17392</cdr:x>
      <cdr:y>0.09882</cdr:y>
    </cdr:to>
    <cdr:sp macro="" textlink="'SECTORAL ANALYSIS'!$S$9">
      <cdr:nvSpPr>
        <cdr:cNvPr id="7" name="TextBox 19"/>
        <cdr:cNvSpPr txBox="1"/>
      </cdr:nvSpPr>
      <cdr:spPr>
        <a:xfrm xmlns:a="http://schemas.openxmlformats.org/drawingml/2006/main">
          <a:off x="0" y="0"/>
          <a:ext cx="471796" cy="27127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31755073-5CF0-4C14-B7FD-03AB8E316933}" type="TxLink">
            <a:rPr lang="en-US" sz="1600" b="1" i="0" u="none" strike="noStrike">
              <a:solidFill>
                <a:schemeClr val="accent1"/>
              </a:solidFill>
              <a:latin typeface="Calibri"/>
            </a:rPr>
            <a:pPr/>
            <a:t>2022</a:t>
          </a:fld>
          <a:endParaRPr lang="en-GB" sz="1600">
            <a:solidFill>
              <a:schemeClr val="accent1"/>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0.31925</cdr:x>
      <cdr:y>0.14054</cdr:y>
    </cdr:from>
    <cdr:to>
      <cdr:x>0.71816</cdr:x>
      <cdr:y>0.26521</cdr:y>
    </cdr:to>
    <cdr:sp macro="" textlink="'SECTORAL ANALYSIS'!$U$25">
      <cdr:nvSpPr>
        <cdr:cNvPr id="7" name="TextBox 19"/>
        <cdr:cNvSpPr txBox="1"/>
      </cdr:nvSpPr>
      <cdr:spPr>
        <a:xfrm xmlns:a="http://schemas.openxmlformats.org/drawingml/2006/main">
          <a:off x="890363" y="396238"/>
          <a:ext cx="1112521" cy="3514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9EF65FCF-DA26-4878-944F-DA0E9B855524}" type="TxLink">
            <a:rPr lang="en-US" sz="900" b="1" i="0" u="none" strike="noStrike">
              <a:solidFill>
                <a:schemeClr val="tx2"/>
              </a:solidFill>
              <a:latin typeface="Calibri"/>
            </a:rPr>
            <a:pPr algn="ctr"/>
            <a:t>Accommodation (26.3%)</a:t>
          </a:fld>
          <a:endParaRPr lang="en-GB" sz="900" b="1">
            <a:solidFill>
              <a:schemeClr val="tx2"/>
            </a:solidFill>
          </a:endParaRPr>
        </a:p>
      </cdr:txBody>
    </cdr:sp>
  </cdr:relSizeAnchor>
  <cdr:relSizeAnchor xmlns:cdr="http://schemas.openxmlformats.org/drawingml/2006/chartDrawing">
    <cdr:from>
      <cdr:x>0.01366</cdr:x>
      <cdr:y>0.35045</cdr:y>
    </cdr:from>
    <cdr:to>
      <cdr:x>0.41257</cdr:x>
      <cdr:y>0.47512</cdr:y>
    </cdr:to>
    <cdr:sp macro="" textlink="'SECTORAL ANALYSIS'!$U$31">
      <cdr:nvSpPr>
        <cdr:cNvPr id="10" name="TextBox 19"/>
        <cdr:cNvSpPr txBox="1"/>
      </cdr:nvSpPr>
      <cdr:spPr>
        <a:xfrm xmlns:a="http://schemas.openxmlformats.org/drawingml/2006/main">
          <a:off x="38100" y="988072"/>
          <a:ext cx="1112528" cy="3514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DF3655E4-A77C-4F11-95A2-0FC45D176844}" type="TxLink">
            <a:rPr lang="en-US" sz="900" b="1" i="0" u="none" strike="noStrike">
              <a:solidFill>
                <a:schemeClr val="accent3">
                  <a:lumMod val="75000"/>
                </a:schemeClr>
              </a:solidFill>
              <a:latin typeface="Calibri"/>
            </a:rPr>
            <a:pPr algn="ctr"/>
            <a:t>Indirect Employment (20.2%)</a:t>
          </a:fld>
          <a:endParaRPr lang="en-GB" sz="900" b="1">
            <a:solidFill>
              <a:schemeClr val="accent3">
                <a:lumMod val="75000"/>
              </a:schemeClr>
            </a:solidFill>
          </a:endParaRPr>
        </a:p>
      </cdr:txBody>
    </cdr:sp>
  </cdr:relSizeAnchor>
  <cdr:relSizeAnchor xmlns:cdr="http://schemas.openxmlformats.org/drawingml/2006/chartDrawing">
    <cdr:from>
      <cdr:x>0.6833</cdr:x>
      <cdr:y>0.34505</cdr:y>
    </cdr:from>
    <cdr:to>
      <cdr:x>1</cdr:x>
      <cdr:y>0.46972</cdr:y>
    </cdr:to>
    <cdr:sp macro="" textlink="'SECTORAL ANALYSIS'!$U$26">
      <cdr:nvSpPr>
        <cdr:cNvPr id="11" name="TextBox 19"/>
        <cdr:cNvSpPr txBox="1"/>
      </cdr:nvSpPr>
      <cdr:spPr>
        <a:xfrm xmlns:a="http://schemas.openxmlformats.org/drawingml/2006/main">
          <a:off x="1905669" y="972834"/>
          <a:ext cx="883251" cy="3514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8A773207-B0CD-4D54-A927-3072FECD4FCD}" type="TxLink">
            <a:rPr lang="en-US" sz="900" b="1" i="0" u="none" strike="noStrike">
              <a:solidFill>
                <a:schemeClr val="accent2"/>
              </a:solidFill>
              <a:latin typeface="Calibri"/>
            </a:rPr>
            <a:pPr algn="ctr"/>
            <a:t>Food &amp; Drink (21.8%)</a:t>
          </a:fld>
          <a:endParaRPr lang="en-GB" sz="900" b="1">
            <a:solidFill>
              <a:schemeClr val="accent2"/>
            </a:solidFill>
          </a:endParaRPr>
        </a:p>
      </cdr:txBody>
    </cdr:sp>
  </cdr:relSizeAnchor>
  <cdr:relSizeAnchor xmlns:cdr="http://schemas.openxmlformats.org/drawingml/2006/chartDrawing">
    <cdr:from>
      <cdr:x>0.73521</cdr:x>
      <cdr:y>0.82342</cdr:y>
    </cdr:from>
    <cdr:to>
      <cdr:x>0.98907</cdr:x>
      <cdr:y>0.9481</cdr:y>
    </cdr:to>
    <cdr:sp macro="" textlink="'SECTORAL ANALYSIS'!$U$27">
      <cdr:nvSpPr>
        <cdr:cNvPr id="12" name="TextBox 19"/>
        <cdr:cNvSpPr txBox="1"/>
      </cdr:nvSpPr>
      <cdr:spPr>
        <a:xfrm xmlns:a="http://schemas.openxmlformats.org/drawingml/2006/main">
          <a:off x="2050445" y="2321553"/>
          <a:ext cx="707995" cy="35152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B07C63FB-7C85-4141-885A-D45A05D65C67}" type="TxLink">
            <a:rPr lang="en-US" sz="900" b="1" i="0" u="none" strike="noStrike">
              <a:solidFill>
                <a:schemeClr val="accent6">
                  <a:lumMod val="75000"/>
                </a:schemeClr>
              </a:solidFill>
              <a:latin typeface="Calibri"/>
            </a:rPr>
            <a:pPr algn="ctr"/>
            <a:t>Recreation (6.6%)</a:t>
          </a:fld>
          <a:endParaRPr lang="en-GB" sz="900" b="1">
            <a:solidFill>
              <a:schemeClr val="accent6">
                <a:lumMod val="75000"/>
              </a:schemeClr>
            </a:solidFill>
          </a:endParaRPr>
        </a:p>
      </cdr:txBody>
    </cdr:sp>
  </cdr:relSizeAnchor>
  <cdr:relSizeAnchor xmlns:cdr="http://schemas.openxmlformats.org/drawingml/2006/chartDrawing">
    <cdr:from>
      <cdr:x>0</cdr:x>
      <cdr:y>0.74526</cdr:y>
    </cdr:from>
    <cdr:to>
      <cdr:x>0.26875</cdr:x>
      <cdr:y>0.86994</cdr:y>
    </cdr:to>
    <cdr:sp macro="" textlink="'SECTORAL ANALYSIS'!$U$29">
      <cdr:nvSpPr>
        <cdr:cNvPr id="14" name="TextBox 19"/>
        <cdr:cNvSpPr txBox="1"/>
      </cdr:nvSpPr>
      <cdr:spPr>
        <a:xfrm xmlns:a="http://schemas.openxmlformats.org/drawingml/2006/main">
          <a:off x="0" y="2045828"/>
          <a:ext cx="729044" cy="34226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C606975F-E2E3-4AF7-9C7B-D4427408313B}" type="TxLink">
            <a:rPr lang="en-US" sz="900" b="1" i="0" u="none" strike="noStrike">
              <a:solidFill>
                <a:schemeClr val="accent4">
                  <a:lumMod val="60000"/>
                  <a:lumOff val="40000"/>
                </a:schemeClr>
              </a:solidFill>
              <a:latin typeface="Calibri"/>
            </a:rPr>
            <a:pPr algn="ctr"/>
            <a:t>Transport (3.5%)</a:t>
          </a:fld>
          <a:endParaRPr lang="en-GB" sz="900" b="1">
            <a:solidFill>
              <a:schemeClr val="accent4">
                <a:lumMod val="60000"/>
                <a:lumOff val="40000"/>
              </a:schemeClr>
            </a:solidFill>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1000-000004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editAs="oneCell">
    <xdr:from>
      <xdr:col>22</xdr:col>
      <xdr:colOff>320041</xdr:colOff>
      <xdr:row>3</xdr:row>
      <xdr:rowOff>45721</xdr:rowOff>
    </xdr:from>
    <xdr:to>
      <xdr:col>23</xdr:col>
      <xdr:colOff>398146</xdr:colOff>
      <xdr:row>4</xdr:row>
      <xdr:rowOff>299165</xdr:rowOff>
    </xdr:to>
    <xdr:pic>
      <xdr:nvPicPr>
        <xdr:cNvPr id="7" name="Picture 6">
          <a:hlinkClick xmlns:r="http://schemas.openxmlformats.org/officeDocument/2006/relationships" r:id="rId2" tooltip="Home - Navigation Page"/>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6</xdr:col>
      <xdr:colOff>220980</xdr:colOff>
      <xdr:row>3</xdr:row>
      <xdr:rowOff>160020</xdr:rowOff>
    </xdr:from>
    <xdr:to>
      <xdr:col>21</xdr:col>
      <xdr:colOff>167640</xdr:colOff>
      <xdr:row>4</xdr:row>
      <xdr:rowOff>129540</xdr:rowOff>
    </xdr:to>
    <xdr:sp macro="" textlink="">
      <xdr:nvSpPr>
        <xdr:cNvPr id="24" name="Rectangle 23">
          <a:extLst>
            <a:ext uri="{FF2B5EF4-FFF2-40B4-BE49-F238E27FC236}">
              <a16:creationId xmlns:a16="http://schemas.microsoft.com/office/drawing/2014/main" id="{00000000-0008-0000-1000-000018000000}"/>
            </a:ext>
          </a:extLst>
        </xdr:cNvPr>
        <xdr:cNvSpPr/>
      </xdr:nvSpPr>
      <xdr:spPr>
        <a:xfrm>
          <a:off x="3253740" y="7010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21</xdr:col>
      <xdr:colOff>220980</xdr:colOff>
      <xdr:row>3</xdr:row>
      <xdr:rowOff>243840</xdr:rowOff>
    </xdr:from>
    <xdr:to>
      <xdr:col>22</xdr:col>
      <xdr:colOff>243840</xdr:colOff>
      <xdr:row>4</xdr:row>
      <xdr:rowOff>60960</xdr:rowOff>
    </xdr:to>
    <xdr:sp macro="" textlink="">
      <xdr:nvSpPr>
        <xdr:cNvPr id="25" name="Right Arrow 24">
          <a:extLst>
            <a:ext uri="{FF2B5EF4-FFF2-40B4-BE49-F238E27FC236}">
              <a16:creationId xmlns:a16="http://schemas.microsoft.com/office/drawing/2014/main" id="{00000000-0008-0000-1000-000019000000}"/>
            </a:ext>
          </a:extLst>
        </xdr:cNvPr>
        <xdr:cNvSpPr/>
      </xdr:nvSpPr>
      <xdr:spPr>
        <a:xfrm>
          <a:off x="10340340" y="784860"/>
          <a:ext cx="495300" cy="152400"/>
        </a:xfrm>
        <a:prstGeom prst="rightArrow">
          <a:avLst>
            <a:gd name="adj1" fmla="val 50000"/>
            <a:gd name="adj2" fmla="val 47183"/>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190500</xdr:colOff>
      <xdr:row>5</xdr:row>
      <xdr:rowOff>53340</xdr:rowOff>
    </xdr:from>
    <xdr:to>
      <xdr:col>23</xdr:col>
      <xdr:colOff>56520</xdr:colOff>
      <xdr:row>11</xdr:row>
      <xdr:rowOff>91440</xdr:rowOff>
    </xdr:to>
    <xdr:grpSp>
      <xdr:nvGrpSpPr>
        <xdr:cNvPr id="13" name="Group 12">
          <a:extLst>
            <a:ext uri="{FF2B5EF4-FFF2-40B4-BE49-F238E27FC236}">
              <a16:creationId xmlns:a16="http://schemas.microsoft.com/office/drawing/2014/main" id="{00000000-0008-0000-1000-00000D000000}"/>
            </a:ext>
          </a:extLst>
        </xdr:cNvPr>
        <xdr:cNvGrpSpPr/>
      </xdr:nvGrpSpPr>
      <xdr:grpSpPr>
        <a:xfrm>
          <a:off x="1737360" y="1264920"/>
          <a:ext cx="10107300" cy="1272540"/>
          <a:chOff x="1531620" y="1264920"/>
          <a:chExt cx="9589140" cy="1272540"/>
        </a:xfrm>
      </xdr:grpSpPr>
      <xdr:grpSp>
        <xdr:nvGrpSpPr>
          <xdr:cNvPr id="6" name="Group 5">
            <a:extLst>
              <a:ext uri="{FF2B5EF4-FFF2-40B4-BE49-F238E27FC236}">
                <a16:creationId xmlns:a16="http://schemas.microsoft.com/office/drawing/2014/main" id="{00000000-0008-0000-1000-000006000000}"/>
              </a:ext>
            </a:extLst>
          </xdr:cNvPr>
          <xdr:cNvGrpSpPr/>
        </xdr:nvGrpSpPr>
        <xdr:grpSpPr>
          <a:xfrm>
            <a:off x="2766060" y="1264920"/>
            <a:ext cx="8354700" cy="1219200"/>
            <a:chOff x="6103620" y="1242060"/>
            <a:chExt cx="5040000" cy="1219200"/>
          </a:xfrm>
          <a:effectLst/>
        </xdr:grpSpPr>
        <xdr:sp macro="" textlink="REP.subzone">
          <xdr:nvSpPr>
            <xdr:cNvPr id="11" name="Rectangle 10">
              <a:extLst>
                <a:ext uri="{FF2B5EF4-FFF2-40B4-BE49-F238E27FC236}">
                  <a16:creationId xmlns:a16="http://schemas.microsoft.com/office/drawing/2014/main" id="{00000000-0008-0000-1000-00000B000000}"/>
                </a:ext>
              </a:extLst>
            </xdr:cNvPr>
            <xdr:cNvSpPr/>
          </xdr:nvSpPr>
          <xdr:spPr>
            <a:xfrm>
              <a:off x="6103620" y="2209800"/>
              <a:ext cx="5033485" cy="251460"/>
            </a:xfrm>
            <a:prstGeom prst="rect">
              <a:avLst/>
            </a:prstGeom>
            <a:gradFill>
              <a:gsLst>
                <a:gs pos="23000">
                  <a:schemeClr val="accent3">
                    <a:lumMod val="50000"/>
                  </a:schemeClr>
                </a:gs>
                <a:gs pos="100000">
                  <a:srgbClr val="00B050"/>
                </a:gs>
                <a:gs pos="0">
                  <a:schemeClr val="bg1"/>
                </a:gs>
              </a:gsLst>
              <a:lin ang="0" scaled="1"/>
            </a:grad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0776199B-D5C8-46FB-BDF0-CB73B3A411C1}" type="TxLink">
                <a:rPr lang="en-US" sz="1200" b="1" i="1" u="none" strike="noStrike">
                  <a:solidFill>
                    <a:schemeClr val="bg1"/>
                  </a:solidFill>
                  <a:latin typeface="Calibri"/>
                  <a:ea typeface="+mn-ea"/>
                  <a:cs typeface="+mn-cs"/>
                </a:rPr>
                <a:pPr marL="0" indent="0" algn="r"/>
                <a:t> </a:t>
              </a:fld>
              <a:endParaRPr lang="en-GB" sz="1200" b="1" i="1" u="none" strike="noStrike">
                <a:solidFill>
                  <a:schemeClr val="bg1"/>
                </a:solidFill>
                <a:latin typeface="Calibri"/>
                <a:ea typeface="+mn-ea"/>
                <a:cs typeface="+mn-cs"/>
              </a:endParaRPr>
            </a:p>
          </xdr:txBody>
        </xdr:sp>
        <xdr:sp macro="" textlink="REP.status">
          <xdr:nvSpPr>
            <xdr:cNvPr id="12" name="Rectangle 11">
              <a:extLst>
                <a:ext uri="{FF2B5EF4-FFF2-40B4-BE49-F238E27FC236}">
                  <a16:creationId xmlns:a16="http://schemas.microsoft.com/office/drawing/2014/main" id="{00000000-0008-0000-1000-00000C000000}"/>
                </a:ext>
              </a:extLst>
            </xdr:cNvPr>
            <xdr:cNvSpPr/>
          </xdr:nvSpPr>
          <xdr:spPr>
            <a:xfrm>
              <a:off x="6103620" y="1569720"/>
              <a:ext cx="5040000" cy="198120"/>
            </a:xfrm>
            <a:prstGeom prst="rect">
              <a:avLst/>
            </a:prstGeom>
            <a:gradFill>
              <a:gsLst>
                <a:gs pos="42834">
                  <a:schemeClr val="tx1">
                    <a:lumMod val="50000"/>
                    <a:lumOff val="50000"/>
                  </a:schemeClr>
                </a:gs>
                <a:gs pos="100000">
                  <a:schemeClr val="tx1">
                    <a:lumMod val="65000"/>
                    <a:lumOff val="35000"/>
                  </a:schemeClr>
                </a:gs>
                <a:gs pos="0">
                  <a:schemeClr val="bg1"/>
                </a:gs>
              </a:gsLst>
              <a:lin ang="0" scaled="1"/>
            </a:gradFill>
            <a:ln w="349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D4656592-28D1-4D60-98C6-AA2C8DB144CE}" type="TxLink">
                <a:rPr lang="en-US" sz="1000" b="1" i="0" u="none" strike="noStrike">
                  <a:solidFill>
                    <a:schemeClr val="bg1"/>
                  </a:solidFill>
                  <a:latin typeface="Calibri"/>
                </a:rPr>
                <a:pPr algn="r"/>
                <a:t>Final</a:t>
              </a:fld>
              <a:endParaRPr lang="en-GB" sz="1200" b="1" i="1">
                <a:solidFill>
                  <a:schemeClr val="bg1"/>
                </a:solidFill>
              </a:endParaRPr>
            </a:p>
          </xdr:txBody>
        </xdr:sp>
        <xdr:sp macro="" textlink="REP.authority">
          <xdr:nvSpPr>
            <xdr:cNvPr id="10" name="Rectangle 9">
              <a:extLst>
                <a:ext uri="{FF2B5EF4-FFF2-40B4-BE49-F238E27FC236}">
                  <a16:creationId xmlns:a16="http://schemas.microsoft.com/office/drawing/2014/main" id="{00000000-0008-0000-1000-00000A000000}"/>
                </a:ext>
              </a:extLst>
            </xdr:cNvPr>
            <xdr:cNvSpPr/>
          </xdr:nvSpPr>
          <xdr:spPr>
            <a:xfrm>
              <a:off x="6103620" y="1790700"/>
              <a:ext cx="5033485" cy="419100"/>
            </a:xfrm>
            <a:prstGeom prst="rect">
              <a:avLst/>
            </a:prstGeom>
            <a:gradFill>
              <a:gsLst>
                <a:gs pos="23000">
                  <a:schemeClr val="accent3">
                    <a:lumMod val="50000"/>
                  </a:schemeClr>
                </a:gs>
                <a:gs pos="100000">
                  <a:srgbClr val="00B050"/>
                </a:gs>
                <a:gs pos="0">
                  <a:schemeClr val="bg1"/>
                </a:gs>
              </a:gsLst>
              <a:lin ang="0" scaled="1"/>
            </a:grad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0E26FCAA-BB34-4B88-8DD5-3D1AD87C7D6C}" type="TxLink">
                <a:rPr lang="en-US" sz="1600" b="1" i="0" u="none" strike="noStrike">
                  <a:solidFill>
                    <a:schemeClr val="bg1"/>
                  </a:solidFill>
                  <a:latin typeface="Calibri"/>
                </a:rPr>
                <a:pPr algn="r"/>
                <a:t>NORTH WALES</a:t>
              </a:fld>
              <a:endParaRPr lang="en-GB" sz="1600" b="1">
                <a:solidFill>
                  <a:schemeClr val="bg1"/>
                </a:solidFill>
              </a:endParaRPr>
            </a:p>
          </xdr:txBody>
        </xdr:sp>
        <xdr:sp macro="" textlink="REP.title1">
          <xdr:nvSpPr>
            <xdr:cNvPr id="2" name="Rectangle 1">
              <a:extLst>
                <a:ext uri="{FF2B5EF4-FFF2-40B4-BE49-F238E27FC236}">
                  <a16:creationId xmlns:a16="http://schemas.microsoft.com/office/drawing/2014/main" id="{00000000-0008-0000-1000-000002000000}"/>
                </a:ext>
              </a:extLst>
            </xdr:cNvPr>
            <xdr:cNvSpPr/>
          </xdr:nvSpPr>
          <xdr:spPr>
            <a:xfrm>
              <a:off x="6103620" y="1242060"/>
              <a:ext cx="5040000" cy="304800"/>
            </a:xfrm>
            <a:prstGeom prst="rect">
              <a:avLst/>
            </a:prstGeom>
            <a:gradFill>
              <a:gsLst>
                <a:gs pos="15000">
                  <a:schemeClr val="accent1"/>
                </a:gs>
                <a:gs pos="100000">
                  <a:schemeClr val="accent1">
                    <a:lumMod val="50000"/>
                  </a:schemeClr>
                </a:gs>
                <a:gs pos="0">
                  <a:schemeClr val="bg1"/>
                </a:gs>
              </a:gsLst>
              <a:lin ang="0" scaled="1"/>
            </a:gradFill>
            <a:ln w="349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00586C74-0256-4893-90E2-92E700CA2734}" type="TxLink">
                <a:rPr lang="en-US" sz="1600" b="1" i="0" u="none" strike="noStrike">
                  <a:solidFill>
                    <a:schemeClr val="bg1"/>
                  </a:solidFill>
                  <a:latin typeface="Calibri"/>
                </a:rPr>
                <a:pPr algn="r"/>
                <a:t>STEAM FINAL TREND REPORT FOR 2011-2022</a:t>
              </a:fld>
              <a:endParaRPr lang="en-GB" sz="1600" b="1">
                <a:solidFill>
                  <a:schemeClr val="bg1"/>
                </a:solidFill>
              </a:endParaRPr>
            </a:p>
          </xdr:txBody>
        </xdr:sp>
      </xdr:grpSp>
      <xdr:sp macro="" textlink="">
        <xdr:nvSpPr>
          <xdr:cNvPr id="8" name="Rectangle 7">
            <a:extLst>
              <a:ext uri="{FF2B5EF4-FFF2-40B4-BE49-F238E27FC236}">
                <a16:creationId xmlns:a16="http://schemas.microsoft.com/office/drawing/2014/main" id="{00000000-0008-0000-1000-000008000000}"/>
              </a:ext>
            </a:extLst>
          </xdr:cNvPr>
          <xdr:cNvSpPr/>
        </xdr:nvSpPr>
        <xdr:spPr>
          <a:xfrm>
            <a:off x="1531620" y="1318260"/>
            <a:ext cx="969264" cy="1219200"/>
          </a:xfrm>
          <a:prstGeom prst="rect">
            <a:avLst/>
          </a:prstGeom>
          <a:blipFill dpi="0" rotWithShape="1">
            <a:blip xmlns:r="http://schemas.openxmlformats.org/officeDocument/2006/relationships" r:embed="rId4"/>
            <a:srcRect/>
            <a:stretch>
              <a:fillRect/>
            </a:stretch>
          </a:blipFill>
          <a:ln>
            <a:noFill/>
          </a:ln>
          <a:effectLst>
            <a:softEdge rad="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1100-000003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1100-000004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a:extLst>
            <a:ext uri="{FF2B5EF4-FFF2-40B4-BE49-F238E27FC236}">
              <a16:creationId xmlns:a16="http://schemas.microsoft.com/office/drawing/2014/main" id="{00000000-0008-0000-1100-000006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a:extLst>
            <a:ext uri="{FF2B5EF4-FFF2-40B4-BE49-F238E27FC236}">
              <a16:creationId xmlns:a16="http://schemas.microsoft.com/office/drawing/2014/main" id="{00000000-0008-0000-1100-000007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8" name="TextBox 7">
          <a:extLst>
            <a:ext uri="{FF2B5EF4-FFF2-40B4-BE49-F238E27FC236}">
              <a16:creationId xmlns:a16="http://schemas.microsoft.com/office/drawing/2014/main" id="{00000000-0008-0000-1100-000008000000}"/>
            </a:ext>
          </a:extLst>
        </xdr:cNvPr>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8</xdr:col>
      <xdr:colOff>19051</xdr:colOff>
      <xdr:row>7</xdr:row>
      <xdr:rowOff>76200</xdr:rowOff>
    </xdr:from>
    <xdr:to>
      <xdr:col>13</xdr:col>
      <xdr:colOff>38176</xdr:colOff>
      <xdr:row>12</xdr:row>
      <xdr:rowOff>47625</xdr:rowOff>
    </xdr:to>
    <xdr:grpSp>
      <xdr:nvGrpSpPr>
        <xdr:cNvPr id="25" name="Group 24">
          <a:extLst>
            <a:ext uri="{FF2B5EF4-FFF2-40B4-BE49-F238E27FC236}">
              <a16:creationId xmlns:a16="http://schemas.microsoft.com/office/drawing/2014/main" id="{00000000-0008-0000-1100-000019000000}"/>
            </a:ext>
          </a:extLst>
        </xdr:cNvPr>
        <xdr:cNvGrpSpPr/>
      </xdr:nvGrpSpPr>
      <xdr:grpSpPr>
        <a:xfrm>
          <a:off x="4057651" y="1699260"/>
          <a:ext cx="2533725" cy="1000125"/>
          <a:chOff x="1381126" y="1666875"/>
          <a:chExt cx="2390774" cy="971550"/>
        </a:xfrm>
      </xdr:grpSpPr>
      <xdr:sp macro="" textlink="">
        <xdr:nvSpPr>
          <xdr:cNvPr id="22" name="Rectangle 21">
            <a:extLst>
              <a:ext uri="{FF2B5EF4-FFF2-40B4-BE49-F238E27FC236}">
                <a16:creationId xmlns:a16="http://schemas.microsoft.com/office/drawing/2014/main" id="{00000000-0008-0000-1100-000016000000}"/>
              </a:ext>
            </a:extLst>
          </xdr:cNvPr>
          <xdr:cNvSpPr/>
        </xdr:nvSpPr>
        <xdr:spPr>
          <a:xfrm>
            <a:off x="1381126" y="1666875"/>
            <a:ext cx="2390774" cy="971550"/>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USER GUIDE</a:t>
            </a:r>
          </a:p>
        </xdr:txBody>
      </xdr:sp>
      <xdr:pic>
        <xdr:nvPicPr>
          <xdr:cNvPr id="21" name="Picture 20">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24" name="Rectangle 23">
            <a:extLst>
              <a:ext uri="{FF2B5EF4-FFF2-40B4-BE49-F238E27FC236}">
                <a16:creationId xmlns:a16="http://schemas.microsoft.com/office/drawing/2014/main" id="{00000000-0008-0000-1100-000018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a:t>
            </a:r>
          </a:p>
        </xdr:txBody>
      </xdr:sp>
    </xdr:grpSp>
    <xdr:clientData/>
  </xdr:twoCellAnchor>
  <xdr:twoCellAnchor>
    <xdr:from>
      <xdr:col>13</xdr:col>
      <xdr:colOff>219076</xdr:colOff>
      <xdr:row>7</xdr:row>
      <xdr:rowOff>76200</xdr:rowOff>
    </xdr:from>
    <xdr:to>
      <xdr:col>18</xdr:col>
      <xdr:colOff>238201</xdr:colOff>
      <xdr:row>12</xdr:row>
      <xdr:rowOff>47625</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6772276" y="1699260"/>
          <a:ext cx="2533725" cy="1000125"/>
          <a:chOff x="1381126" y="1666875"/>
          <a:chExt cx="2390774" cy="971550"/>
        </a:xfrm>
      </xdr:grpSpPr>
      <xdr:sp macro="" textlink="">
        <xdr:nvSpPr>
          <xdr:cNvPr id="27" name="Rectangle 26">
            <a:extLst>
              <a:ext uri="{FF2B5EF4-FFF2-40B4-BE49-F238E27FC236}">
                <a16:creationId xmlns:a16="http://schemas.microsoft.com/office/drawing/2014/main" id="{00000000-0008-0000-1100-00001B000000}"/>
              </a:ext>
            </a:extLst>
          </xdr:cNvPr>
          <xdr:cNvSpPr/>
        </xdr:nvSpPr>
        <xdr:spPr>
          <a:xfrm>
            <a:off x="1381126" y="1666875"/>
            <a:ext cx="2390774" cy="97155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ysClr val="windowText" lastClr="000000"/>
                </a:solidFill>
              </a:rPr>
              <a:t>COMPARATIVE HEADLINES</a:t>
            </a:r>
          </a:p>
        </xdr:txBody>
      </xdr:sp>
      <xdr:pic>
        <xdr:nvPicPr>
          <xdr:cNvPr id="28" name="Picture 27">
            <a:extLst>
              <a:ext uri="{FF2B5EF4-FFF2-40B4-BE49-F238E27FC236}">
                <a16:creationId xmlns:a16="http://schemas.microsoft.com/office/drawing/2014/main" id="{00000000-0008-0000-1100-00001C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29" name="Rectangle 28">
            <a:extLst>
              <a:ext uri="{FF2B5EF4-FFF2-40B4-BE49-F238E27FC236}">
                <a16:creationId xmlns:a16="http://schemas.microsoft.com/office/drawing/2014/main" id="{00000000-0008-0000-1100-00001D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a:t>
            </a:r>
          </a:p>
        </xdr:txBody>
      </xdr:sp>
    </xdr:grpSp>
    <xdr:clientData/>
  </xdr:twoCellAnchor>
  <xdr:twoCellAnchor>
    <xdr:from>
      <xdr:col>18</xdr:col>
      <xdr:colOff>447676</xdr:colOff>
      <xdr:row>7</xdr:row>
      <xdr:rowOff>76200</xdr:rowOff>
    </xdr:from>
    <xdr:to>
      <xdr:col>23</xdr:col>
      <xdr:colOff>466801</xdr:colOff>
      <xdr:row>12</xdr:row>
      <xdr:rowOff>47625</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9515476" y="1699260"/>
          <a:ext cx="2533725" cy="1000125"/>
          <a:chOff x="1381126" y="1666875"/>
          <a:chExt cx="2390774" cy="971550"/>
        </a:xfrm>
      </xdr:grpSpPr>
      <xdr:sp macro="" textlink="">
        <xdr:nvSpPr>
          <xdr:cNvPr id="31" name="Rectangle 30">
            <a:extLst>
              <a:ext uri="{FF2B5EF4-FFF2-40B4-BE49-F238E27FC236}">
                <a16:creationId xmlns:a16="http://schemas.microsoft.com/office/drawing/2014/main" id="{00000000-0008-0000-1100-00001F000000}"/>
              </a:ext>
            </a:extLst>
          </xdr:cNvPr>
          <xdr:cNvSpPr/>
        </xdr:nvSpPr>
        <xdr:spPr>
          <a:xfrm>
            <a:off x="1381126" y="1666875"/>
            <a:ext cx="2390774" cy="97155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KEY MEASURES</a:t>
            </a:r>
          </a:p>
        </xdr:txBody>
      </xdr:sp>
      <xdr:pic>
        <xdr:nvPicPr>
          <xdr:cNvPr id="32" name="Picture 31">
            <a:extLst>
              <a:ext uri="{FF2B5EF4-FFF2-40B4-BE49-F238E27FC236}">
                <a16:creationId xmlns:a16="http://schemas.microsoft.com/office/drawing/2014/main" id="{00000000-0008-0000-1100-00002000000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33" name="Rectangle 32">
            <a:extLst>
              <a:ext uri="{FF2B5EF4-FFF2-40B4-BE49-F238E27FC236}">
                <a16:creationId xmlns:a16="http://schemas.microsoft.com/office/drawing/2014/main" id="{00000000-0008-0000-1100-000021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5-11</a:t>
            </a:r>
          </a:p>
        </xdr:txBody>
      </xdr:sp>
    </xdr:grpSp>
    <xdr:clientData/>
  </xdr:twoCellAnchor>
  <xdr:twoCellAnchor>
    <xdr:from>
      <xdr:col>8</xdr:col>
      <xdr:colOff>19050</xdr:colOff>
      <xdr:row>24</xdr:row>
      <xdr:rowOff>114300</xdr:rowOff>
    </xdr:from>
    <xdr:to>
      <xdr:col>13</xdr:col>
      <xdr:colOff>38175</xdr:colOff>
      <xdr:row>29</xdr:row>
      <xdr:rowOff>85725</xdr:rowOff>
    </xdr:to>
    <xdr:grpSp>
      <xdr:nvGrpSpPr>
        <xdr:cNvPr id="72" name="Group 71">
          <a:extLst>
            <a:ext uri="{FF2B5EF4-FFF2-40B4-BE49-F238E27FC236}">
              <a16:creationId xmlns:a16="http://schemas.microsoft.com/office/drawing/2014/main" id="{00000000-0008-0000-1100-000048000000}"/>
            </a:ext>
          </a:extLst>
        </xdr:cNvPr>
        <xdr:cNvGrpSpPr/>
      </xdr:nvGrpSpPr>
      <xdr:grpSpPr>
        <a:xfrm>
          <a:off x="4057650" y="5234940"/>
          <a:ext cx="2533725" cy="1000125"/>
          <a:chOff x="1381126" y="1666875"/>
          <a:chExt cx="2390774" cy="971550"/>
        </a:xfrm>
      </xdr:grpSpPr>
      <xdr:sp macro="" textlink="">
        <xdr:nvSpPr>
          <xdr:cNvPr id="73" name="Rectangle 72">
            <a:extLst>
              <a:ext uri="{FF2B5EF4-FFF2-40B4-BE49-F238E27FC236}">
                <a16:creationId xmlns:a16="http://schemas.microsoft.com/office/drawing/2014/main" id="{00000000-0008-0000-1100-000049000000}"/>
              </a:ext>
            </a:extLst>
          </xdr:cNvPr>
          <xdr:cNvSpPr/>
        </xdr:nvSpPr>
        <xdr:spPr>
          <a:xfrm>
            <a:off x="1381126" y="1666875"/>
            <a:ext cx="2390774" cy="971550"/>
          </a:xfrm>
          <a:prstGeom prst="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ACCOMMODATION</a:t>
            </a:r>
            <a:r>
              <a:rPr lang="en-GB" sz="1000" b="1" baseline="0">
                <a:solidFill>
                  <a:schemeClr val="bg1"/>
                </a:solidFill>
              </a:rPr>
              <a:t> SUPPLY</a:t>
            </a:r>
            <a:endParaRPr lang="en-GB" sz="1000" b="1">
              <a:solidFill>
                <a:schemeClr val="bg1"/>
              </a:solidFill>
            </a:endParaRPr>
          </a:p>
        </xdr:txBody>
      </xdr:sp>
      <xdr:pic>
        <xdr:nvPicPr>
          <xdr:cNvPr id="74" name="Picture 73">
            <a:extLst>
              <a:ext uri="{FF2B5EF4-FFF2-40B4-BE49-F238E27FC236}">
                <a16:creationId xmlns:a16="http://schemas.microsoft.com/office/drawing/2014/main" id="{00000000-0008-0000-1100-00004A00000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75" name="Rectangle 74">
            <a:extLst>
              <a:ext uri="{FF2B5EF4-FFF2-40B4-BE49-F238E27FC236}">
                <a16:creationId xmlns:a16="http://schemas.microsoft.com/office/drawing/2014/main" id="{00000000-0008-0000-1100-00004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44</a:t>
            </a:r>
          </a:p>
        </xdr:txBody>
      </xdr:sp>
    </xdr:grpSp>
    <xdr:clientData/>
  </xdr:twoCellAnchor>
  <xdr:twoCellAnchor>
    <xdr:from>
      <xdr:col>4</xdr:col>
      <xdr:colOff>19051</xdr:colOff>
      <xdr:row>7</xdr:row>
      <xdr:rowOff>76201</xdr:rowOff>
    </xdr:from>
    <xdr:to>
      <xdr:col>7</xdr:col>
      <xdr:colOff>333451</xdr:colOff>
      <xdr:row>12</xdr:row>
      <xdr:rowOff>47626</xdr:rowOff>
    </xdr:to>
    <xdr:grpSp>
      <xdr:nvGrpSpPr>
        <xdr:cNvPr id="88" name="Group 87">
          <a:extLst>
            <a:ext uri="{FF2B5EF4-FFF2-40B4-BE49-F238E27FC236}">
              <a16:creationId xmlns:a16="http://schemas.microsoft.com/office/drawing/2014/main" id="{00000000-0008-0000-1100-000058000000}"/>
            </a:ext>
          </a:extLst>
        </xdr:cNvPr>
        <xdr:cNvGrpSpPr/>
      </xdr:nvGrpSpPr>
      <xdr:grpSpPr>
        <a:xfrm>
          <a:off x="1360171" y="1699261"/>
          <a:ext cx="2508960" cy="1000125"/>
          <a:chOff x="1381126" y="1666875"/>
          <a:chExt cx="2390774" cy="971550"/>
        </a:xfrm>
      </xdr:grpSpPr>
      <xdr:sp macro="" textlink="">
        <xdr:nvSpPr>
          <xdr:cNvPr id="89" name="Rectangle 88">
            <a:extLst>
              <a:ext uri="{FF2B5EF4-FFF2-40B4-BE49-F238E27FC236}">
                <a16:creationId xmlns:a16="http://schemas.microsoft.com/office/drawing/2014/main" id="{00000000-0008-0000-1100-000059000000}"/>
              </a:ext>
            </a:extLst>
          </xdr:cNvPr>
          <xdr:cNvSpPr/>
        </xdr:nvSpPr>
        <xdr:spPr>
          <a:xfrm>
            <a:off x="1381126" y="1666875"/>
            <a:ext cx="2390774" cy="971550"/>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REPORT SECTIONS</a:t>
            </a:r>
          </a:p>
        </xdr:txBody>
      </xdr:sp>
      <xdr:pic>
        <xdr:nvPicPr>
          <xdr:cNvPr id="90" name="Picture 89">
            <a:extLst>
              <a:ext uri="{FF2B5EF4-FFF2-40B4-BE49-F238E27FC236}">
                <a16:creationId xmlns:a16="http://schemas.microsoft.com/office/drawing/2014/main" id="{00000000-0008-0000-1100-00005A000000}"/>
              </a:ext>
            </a:extLst>
          </xdr:cNvPr>
          <xdr:cNvPicPr>
            <a:picLocks noChangeAspect="1" noChangeArrowheads="1"/>
          </xdr:cNvPicPr>
        </xdr:nvPicPr>
        <xdr:blipFill>
          <a:blip xmlns:r="http://schemas.openxmlformats.org/officeDocument/2006/relationships" r:embed="rId8"/>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91" name="Rectangle 90">
            <a:extLst>
              <a:ext uri="{FF2B5EF4-FFF2-40B4-BE49-F238E27FC236}">
                <a16:creationId xmlns:a16="http://schemas.microsoft.com/office/drawing/2014/main" id="{00000000-0008-0000-1100-00005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Page</a:t>
            </a:r>
          </a:p>
        </xdr:txBody>
      </xdr:sp>
    </xdr:grpSp>
    <xdr:clientData/>
  </xdr:twoCellAnchor>
  <xdr:twoCellAnchor>
    <xdr:from>
      <xdr:col>13</xdr:col>
      <xdr:colOff>209550</xdr:colOff>
      <xdr:row>13</xdr:row>
      <xdr:rowOff>19050</xdr:rowOff>
    </xdr:from>
    <xdr:to>
      <xdr:col>18</xdr:col>
      <xdr:colOff>228675</xdr:colOff>
      <xdr:row>17</xdr:row>
      <xdr:rowOff>190500</xdr:rowOff>
    </xdr:to>
    <xdr:grpSp>
      <xdr:nvGrpSpPr>
        <xdr:cNvPr id="92" name="Group 91">
          <a:extLst>
            <a:ext uri="{FF2B5EF4-FFF2-40B4-BE49-F238E27FC236}">
              <a16:creationId xmlns:a16="http://schemas.microsoft.com/office/drawing/2014/main" id="{00000000-0008-0000-1100-00005C000000}"/>
            </a:ext>
          </a:extLst>
        </xdr:cNvPr>
        <xdr:cNvGrpSpPr/>
      </xdr:nvGrpSpPr>
      <xdr:grpSpPr>
        <a:xfrm>
          <a:off x="6762750" y="2876550"/>
          <a:ext cx="2533725" cy="994410"/>
          <a:chOff x="1381126" y="1666875"/>
          <a:chExt cx="2390774" cy="971550"/>
        </a:xfrm>
      </xdr:grpSpPr>
      <xdr:sp macro="" textlink="">
        <xdr:nvSpPr>
          <xdr:cNvPr id="93" name="Rectangle 92">
            <a:extLst>
              <a:ext uri="{FF2B5EF4-FFF2-40B4-BE49-F238E27FC236}">
                <a16:creationId xmlns:a16="http://schemas.microsoft.com/office/drawing/2014/main" id="{00000000-0008-0000-1100-00005D000000}"/>
              </a:ext>
            </a:extLst>
          </xdr:cNvPr>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DISTRIBUTION OF IMPACT:</a:t>
            </a:r>
            <a:r>
              <a:rPr lang="en-GB" sz="1000" b="1" baseline="0"/>
              <a:t> </a:t>
            </a:r>
            <a:r>
              <a:rPr lang="en-GB" sz="1000" b="1" i="1" baseline="0"/>
              <a:t>by Month</a:t>
            </a:r>
            <a:endParaRPr lang="en-GB" sz="1000" b="1" i="1"/>
          </a:p>
        </xdr:txBody>
      </xdr:sp>
      <xdr:pic>
        <xdr:nvPicPr>
          <xdr:cNvPr id="94" name="Picture 93">
            <a:extLst>
              <a:ext uri="{FF2B5EF4-FFF2-40B4-BE49-F238E27FC236}">
                <a16:creationId xmlns:a16="http://schemas.microsoft.com/office/drawing/2014/main" id="{00000000-0008-0000-1100-00005E00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95" name="Rectangle 94">
            <a:extLst>
              <a:ext uri="{FF2B5EF4-FFF2-40B4-BE49-F238E27FC236}">
                <a16:creationId xmlns:a16="http://schemas.microsoft.com/office/drawing/2014/main" id="{00000000-0008-0000-1100-00005F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14</a:t>
            </a:r>
          </a:p>
        </xdr:txBody>
      </xdr:sp>
    </xdr:grpSp>
    <xdr:clientData/>
  </xdr:twoCellAnchor>
  <xdr:twoCellAnchor>
    <xdr:from>
      <xdr:col>18</xdr:col>
      <xdr:colOff>438150</xdr:colOff>
      <xdr:row>13</xdr:row>
      <xdr:rowOff>19050</xdr:rowOff>
    </xdr:from>
    <xdr:to>
      <xdr:col>23</xdr:col>
      <xdr:colOff>457275</xdr:colOff>
      <xdr:row>17</xdr:row>
      <xdr:rowOff>190500</xdr:rowOff>
    </xdr:to>
    <xdr:grpSp>
      <xdr:nvGrpSpPr>
        <xdr:cNvPr id="96" name="Group 95">
          <a:extLst>
            <a:ext uri="{FF2B5EF4-FFF2-40B4-BE49-F238E27FC236}">
              <a16:creationId xmlns:a16="http://schemas.microsoft.com/office/drawing/2014/main" id="{00000000-0008-0000-1100-000060000000}"/>
            </a:ext>
          </a:extLst>
        </xdr:cNvPr>
        <xdr:cNvGrpSpPr/>
      </xdr:nvGrpSpPr>
      <xdr:grpSpPr>
        <a:xfrm>
          <a:off x="9505950" y="2876550"/>
          <a:ext cx="2533725" cy="994410"/>
          <a:chOff x="1381126" y="1666875"/>
          <a:chExt cx="2390774" cy="971550"/>
        </a:xfrm>
      </xdr:grpSpPr>
      <xdr:sp macro="" textlink="">
        <xdr:nvSpPr>
          <xdr:cNvPr id="97" name="Rectangle 96">
            <a:extLst>
              <a:ext uri="{FF2B5EF4-FFF2-40B4-BE49-F238E27FC236}">
                <a16:creationId xmlns:a16="http://schemas.microsoft.com/office/drawing/2014/main" id="{00000000-0008-0000-1100-000061000000}"/>
              </a:ext>
            </a:extLst>
          </xdr:cNvPr>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DISTRIBUTION OF IMPACT:</a:t>
            </a:r>
            <a:r>
              <a:rPr lang="en-GB" sz="1000" b="1" baseline="0">
                <a:solidFill>
                  <a:schemeClr val="bg1"/>
                </a:solidFill>
              </a:rPr>
              <a:t> </a:t>
            </a:r>
            <a:r>
              <a:rPr lang="en-GB" sz="1000" b="1" i="1" baseline="0">
                <a:solidFill>
                  <a:schemeClr val="bg1"/>
                </a:solidFill>
              </a:rPr>
              <a:t>by Sector</a:t>
            </a:r>
            <a:endParaRPr lang="en-GB" sz="1000" b="1">
              <a:solidFill>
                <a:schemeClr val="bg1"/>
              </a:solidFill>
            </a:endParaRPr>
          </a:p>
        </xdr:txBody>
      </xdr:sp>
      <xdr:pic>
        <xdr:nvPicPr>
          <xdr:cNvPr id="98" name="Picture 97">
            <a:extLst>
              <a:ext uri="{FF2B5EF4-FFF2-40B4-BE49-F238E27FC236}">
                <a16:creationId xmlns:a16="http://schemas.microsoft.com/office/drawing/2014/main" id="{00000000-0008-0000-1100-000062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99" name="Rectangle 98">
            <a:extLst>
              <a:ext uri="{FF2B5EF4-FFF2-40B4-BE49-F238E27FC236}">
                <a16:creationId xmlns:a16="http://schemas.microsoft.com/office/drawing/2014/main" id="{00000000-0008-0000-1100-000063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15</a:t>
            </a:r>
          </a:p>
        </xdr:txBody>
      </xdr:sp>
    </xdr:grpSp>
    <xdr:clientData/>
  </xdr:twoCellAnchor>
  <xdr:twoCellAnchor>
    <xdr:from>
      <xdr:col>8</xdr:col>
      <xdr:colOff>19050</xdr:colOff>
      <xdr:row>13</xdr:row>
      <xdr:rowOff>19051</xdr:rowOff>
    </xdr:from>
    <xdr:to>
      <xdr:col>13</xdr:col>
      <xdr:colOff>38175</xdr:colOff>
      <xdr:row>17</xdr:row>
      <xdr:rowOff>190501</xdr:rowOff>
    </xdr:to>
    <xdr:grpSp>
      <xdr:nvGrpSpPr>
        <xdr:cNvPr id="104" name="Group 103">
          <a:extLst>
            <a:ext uri="{FF2B5EF4-FFF2-40B4-BE49-F238E27FC236}">
              <a16:creationId xmlns:a16="http://schemas.microsoft.com/office/drawing/2014/main" id="{00000000-0008-0000-1100-000068000000}"/>
            </a:ext>
          </a:extLst>
        </xdr:cNvPr>
        <xdr:cNvGrpSpPr/>
      </xdr:nvGrpSpPr>
      <xdr:grpSpPr>
        <a:xfrm>
          <a:off x="4057650" y="2876551"/>
          <a:ext cx="2533725" cy="994410"/>
          <a:chOff x="1381126" y="1666875"/>
          <a:chExt cx="2390774" cy="971550"/>
        </a:xfrm>
      </xdr:grpSpPr>
      <xdr:sp macro="" textlink="">
        <xdr:nvSpPr>
          <xdr:cNvPr id="105" name="Rectangle 104">
            <a:extLst>
              <a:ext uri="{FF2B5EF4-FFF2-40B4-BE49-F238E27FC236}">
                <a16:creationId xmlns:a16="http://schemas.microsoft.com/office/drawing/2014/main" id="{00000000-0008-0000-1100-000069000000}"/>
              </a:ext>
            </a:extLst>
          </xdr:cNvPr>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DISTRIBUTION</a:t>
            </a:r>
            <a:r>
              <a:rPr lang="en-GB" sz="1000" b="1" baseline="0"/>
              <a:t> OF IMPACT</a:t>
            </a:r>
            <a:r>
              <a:rPr lang="en-GB" sz="1000" b="1"/>
              <a:t>: </a:t>
            </a:r>
            <a:r>
              <a:rPr lang="en-GB" sz="1000" b="1" i="1"/>
              <a:t>by</a:t>
            </a:r>
            <a:r>
              <a:rPr lang="en-GB" sz="1000" b="1" i="1" baseline="0"/>
              <a:t> Visitor Type</a:t>
            </a:r>
            <a:endParaRPr lang="en-GB" sz="1000" b="1"/>
          </a:p>
        </xdr:txBody>
      </xdr:sp>
      <xdr:pic>
        <xdr:nvPicPr>
          <xdr:cNvPr id="106" name="Picture 105">
            <a:extLst>
              <a:ext uri="{FF2B5EF4-FFF2-40B4-BE49-F238E27FC236}">
                <a16:creationId xmlns:a16="http://schemas.microsoft.com/office/drawing/2014/main" id="{00000000-0008-0000-1100-00006A000000}"/>
              </a:ext>
            </a:extLst>
          </xdr:cNvPr>
          <xdr:cNvPicPr>
            <a:picLocks noChangeAspect="1" noChangeArrowheads="1"/>
          </xdr:cNvPicPr>
        </xdr:nvPicPr>
        <xdr:blipFill>
          <a:blip xmlns:r="http://schemas.openxmlformats.org/officeDocument/2006/relationships" r:embed="rId11"/>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107" name="Rectangle 106">
            <a:extLst>
              <a:ext uri="{FF2B5EF4-FFF2-40B4-BE49-F238E27FC236}">
                <a16:creationId xmlns:a16="http://schemas.microsoft.com/office/drawing/2014/main" id="{00000000-0008-0000-1100-00006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13</a:t>
            </a:r>
          </a:p>
        </xdr:txBody>
      </xdr:sp>
    </xdr:grpSp>
    <xdr:clientData/>
  </xdr:twoCellAnchor>
  <xdr:twoCellAnchor>
    <xdr:from>
      <xdr:col>13</xdr:col>
      <xdr:colOff>209550</xdr:colOff>
      <xdr:row>18</xdr:row>
      <xdr:rowOff>142875</xdr:rowOff>
    </xdr:from>
    <xdr:to>
      <xdr:col>18</xdr:col>
      <xdr:colOff>228675</xdr:colOff>
      <xdr:row>23</xdr:row>
      <xdr:rowOff>114300</xdr:rowOff>
    </xdr:to>
    <xdr:grpSp>
      <xdr:nvGrpSpPr>
        <xdr:cNvPr id="108" name="Group 107">
          <a:extLst>
            <a:ext uri="{FF2B5EF4-FFF2-40B4-BE49-F238E27FC236}">
              <a16:creationId xmlns:a16="http://schemas.microsoft.com/office/drawing/2014/main" id="{00000000-0008-0000-1100-00006C000000}"/>
            </a:ext>
          </a:extLst>
        </xdr:cNvPr>
        <xdr:cNvGrpSpPr/>
      </xdr:nvGrpSpPr>
      <xdr:grpSpPr>
        <a:xfrm>
          <a:off x="6762750" y="4029075"/>
          <a:ext cx="2533725" cy="1000125"/>
          <a:chOff x="1381126" y="1666875"/>
          <a:chExt cx="2390774" cy="971550"/>
        </a:xfrm>
      </xdr:grpSpPr>
      <xdr:sp macro="" textlink="">
        <xdr:nvSpPr>
          <xdr:cNvPr id="109" name="Rectangle 108">
            <a:extLst>
              <a:ext uri="{FF2B5EF4-FFF2-40B4-BE49-F238E27FC236}">
                <a16:creationId xmlns:a16="http://schemas.microsoft.com/office/drawing/2014/main" id="{00000000-0008-0000-1100-00006D000000}"/>
              </a:ext>
            </a:extLst>
          </xdr:cNvPr>
          <xdr:cNvSpPr/>
        </xdr:nvSpPr>
        <xdr:spPr>
          <a:xfrm>
            <a:off x="1381126" y="1666875"/>
            <a:ext cx="2390774" cy="9715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VISITOR DAYS</a:t>
            </a:r>
          </a:p>
        </xdr:txBody>
      </xdr:sp>
      <xdr:pic>
        <xdr:nvPicPr>
          <xdr:cNvPr id="110" name="Picture 109">
            <a:extLst>
              <a:ext uri="{FF2B5EF4-FFF2-40B4-BE49-F238E27FC236}">
                <a16:creationId xmlns:a16="http://schemas.microsoft.com/office/drawing/2014/main" id="{00000000-0008-0000-1100-00006E000000}"/>
              </a:ext>
            </a:extLst>
          </xdr:cNvPr>
          <xdr:cNvPicPr>
            <a:picLocks noChangeAspect="1" noChangeArrowheads="1"/>
          </xdr:cNvPicPr>
        </xdr:nvPicPr>
        <xdr:blipFill>
          <a:blip xmlns:r="http://schemas.openxmlformats.org/officeDocument/2006/relationships" r:embed="rId12"/>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1" name="Rectangle 110">
            <a:extLst>
              <a:ext uri="{FF2B5EF4-FFF2-40B4-BE49-F238E27FC236}">
                <a16:creationId xmlns:a16="http://schemas.microsoft.com/office/drawing/2014/main" id="{00000000-0008-0000-1100-00006F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30-36</a:t>
            </a:r>
          </a:p>
        </xdr:txBody>
      </xdr:sp>
    </xdr:grpSp>
    <xdr:clientData/>
  </xdr:twoCellAnchor>
  <xdr:twoCellAnchor>
    <xdr:from>
      <xdr:col>8</xdr:col>
      <xdr:colOff>28575</xdr:colOff>
      <xdr:row>18</xdr:row>
      <xdr:rowOff>152400</xdr:rowOff>
    </xdr:from>
    <xdr:to>
      <xdr:col>13</xdr:col>
      <xdr:colOff>47700</xdr:colOff>
      <xdr:row>23</xdr:row>
      <xdr:rowOff>123825</xdr:rowOff>
    </xdr:to>
    <xdr:grpSp>
      <xdr:nvGrpSpPr>
        <xdr:cNvPr id="112" name="Group 111">
          <a:extLst>
            <a:ext uri="{FF2B5EF4-FFF2-40B4-BE49-F238E27FC236}">
              <a16:creationId xmlns:a16="http://schemas.microsoft.com/office/drawing/2014/main" id="{00000000-0008-0000-1100-000070000000}"/>
            </a:ext>
          </a:extLst>
        </xdr:cNvPr>
        <xdr:cNvGrpSpPr/>
      </xdr:nvGrpSpPr>
      <xdr:grpSpPr>
        <a:xfrm>
          <a:off x="4067175" y="4038600"/>
          <a:ext cx="2533725" cy="1000125"/>
          <a:chOff x="1381126" y="1666875"/>
          <a:chExt cx="2390774" cy="971550"/>
        </a:xfrm>
      </xdr:grpSpPr>
      <xdr:sp macro="" textlink="">
        <xdr:nvSpPr>
          <xdr:cNvPr id="113" name="Rectangle 112">
            <a:extLst>
              <a:ext uri="{FF2B5EF4-FFF2-40B4-BE49-F238E27FC236}">
                <a16:creationId xmlns:a16="http://schemas.microsoft.com/office/drawing/2014/main" id="{00000000-0008-0000-1100-000071000000}"/>
              </a:ext>
            </a:extLst>
          </xdr:cNvPr>
          <xdr:cNvSpPr/>
        </xdr:nvSpPr>
        <xdr:spPr>
          <a:xfrm>
            <a:off x="1381126" y="1666875"/>
            <a:ext cx="2390774" cy="9715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VISITOR NUMBERS</a:t>
            </a:r>
          </a:p>
        </xdr:txBody>
      </xdr:sp>
      <xdr:pic>
        <xdr:nvPicPr>
          <xdr:cNvPr id="114" name="Picture 113">
            <a:extLst>
              <a:ext uri="{FF2B5EF4-FFF2-40B4-BE49-F238E27FC236}">
                <a16:creationId xmlns:a16="http://schemas.microsoft.com/office/drawing/2014/main" id="{00000000-0008-0000-1100-000072000000}"/>
              </a:ext>
            </a:extLst>
          </xdr:cNvPr>
          <xdr:cNvPicPr>
            <a:picLocks noChangeAspect="1" noChangeArrowheads="1"/>
          </xdr:cNvPicPr>
        </xdr:nvPicPr>
        <xdr:blipFill>
          <a:blip xmlns:r="http://schemas.openxmlformats.org/officeDocument/2006/relationships" r:embed="rId13"/>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5" name="Rectangle 114">
            <a:extLst>
              <a:ext uri="{FF2B5EF4-FFF2-40B4-BE49-F238E27FC236}">
                <a16:creationId xmlns:a16="http://schemas.microsoft.com/office/drawing/2014/main" id="{00000000-0008-0000-1100-000073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23-29</a:t>
            </a:r>
          </a:p>
        </xdr:txBody>
      </xdr:sp>
    </xdr:grpSp>
    <xdr:clientData/>
  </xdr:twoCellAnchor>
  <xdr:twoCellAnchor>
    <xdr:from>
      <xdr:col>18</xdr:col>
      <xdr:colOff>438150</xdr:colOff>
      <xdr:row>18</xdr:row>
      <xdr:rowOff>161925</xdr:rowOff>
    </xdr:from>
    <xdr:to>
      <xdr:col>23</xdr:col>
      <xdr:colOff>457275</xdr:colOff>
      <xdr:row>23</xdr:row>
      <xdr:rowOff>133350</xdr:rowOff>
    </xdr:to>
    <xdr:grpSp>
      <xdr:nvGrpSpPr>
        <xdr:cNvPr id="116" name="Group 115">
          <a:extLst>
            <a:ext uri="{FF2B5EF4-FFF2-40B4-BE49-F238E27FC236}">
              <a16:creationId xmlns:a16="http://schemas.microsoft.com/office/drawing/2014/main" id="{00000000-0008-0000-1100-000074000000}"/>
            </a:ext>
          </a:extLst>
        </xdr:cNvPr>
        <xdr:cNvGrpSpPr/>
      </xdr:nvGrpSpPr>
      <xdr:grpSpPr>
        <a:xfrm>
          <a:off x="9505950" y="4048125"/>
          <a:ext cx="2533725" cy="1000125"/>
          <a:chOff x="1381126" y="1666875"/>
          <a:chExt cx="2390774" cy="971550"/>
        </a:xfrm>
      </xdr:grpSpPr>
      <xdr:sp macro="" textlink="">
        <xdr:nvSpPr>
          <xdr:cNvPr id="117" name="Rectangle 116">
            <a:extLst>
              <a:ext uri="{FF2B5EF4-FFF2-40B4-BE49-F238E27FC236}">
                <a16:creationId xmlns:a16="http://schemas.microsoft.com/office/drawing/2014/main" id="{00000000-0008-0000-1100-000075000000}"/>
              </a:ext>
            </a:extLst>
          </xdr:cNvPr>
          <xdr:cNvSpPr/>
        </xdr:nvSpPr>
        <xdr:spPr>
          <a:xfrm>
            <a:off x="1381126" y="1666875"/>
            <a:ext cx="2390774" cy="971550"/>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tx1"/>
                </a:solidFill>
              </a:rPr>
              <a:t>DIRECT AND TOTAL</a:t>
            </a:r>
            <a:r>
              <a:rPr lang="en-GB" sz="1000" b="1" baseline="0">
                <a:solidFill>
                  <a:schemeClr val="tx1"/>
                </a:solidFill>
              </a:rPr>
              <a:t> </a:t>
            </a:r>
            <a:r>
              <a:rPr lang="en-GB" sz="1000" b="1">
                <a:solidFill>
                  <a:schemeClr val="tx1"/>
                </a:solidFill>
              </a:rPr>
              <a:t>EMPLOYMENT</a:t>
            </a:r>
          </a:p>
        </xdr:txBody>
      </xdr:sp>
      <xdr:pic>
        <xdr:nvPicPr>
          <xdr:cNvPr id="118" name="Picture 117">
            <a:extLst>
              <a:ext uri="{FF2B5EF4-FFF2-40B4-BE49-F238E27FC236}">
                <a16:creationId xmlns:a16="http://schemas.microsoft.com/office/drawing/2014/main" id="{00000000-0008-0000-1100-000076000000}"/>
              </a:ext>
            </a:extLst>
          </xdr:cNvPr>
          <xdr:cNvPicPr>
            <a:picLocks noChangeAspect="1" noChangeArrowheads="1"/>
          </xdr:cNvPicPr>
        </xdr:nvPicPr>
        <xdr:blipFill>
          <a:blip xmlns:r="http://schemas.openxmlformats.org/officeDocument/2006/relationships" r:embed="rId14"/>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9" name="Rectangle 118">
            <a:extLst>
              <a:ext uri="{FF2B5EF4-FFF2-40B4-BE49-F238E27FC236}">
                <a16:creationId xmlns:a16="http://schemas.microsoft.com/office/drawing/2014/main" id="{00000000-0008-0000-1100-000077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37-43</a:t>
            </a:r>
          </a:p>
        </xdr:txBody>
      </xdr:sp>
    </xdr:grpSp>
    <xdr:clientData/>
  </xdr:twoCellAnchor>
  <xdr:twoCellAnchor>
    <xdr:from>
      <xdr:col>4</xdr:col>
      <xdr:colOff>19050</xdr:colOff>
      <xdr:row>18</xdr:row>
      <xdr:rowOff>161926</xdr:rowOff>
    </xdr:from>
    <xdr:to>
      <xdr:col>7</xdr:col>
      <xdr:colOff>333450</xdr:colOff>
      <xdr:row>23</xdr:row>
      <xdr:rowOff>133351</xdr:rowOff>
    </xdr:to>
    <xdr:grpSp>
      <xdr:nvGrpSpPr>
        <xdr:cNvPr id="120" name="Group 119">
          <a:extLst>
            <a:ext uri="{FF2B5EF4-FFF2-40B4-BE49-F238E27FC236}">
              <a16:creationId xmlns:a16="http://schemas.microsoft.com/office/drawing/2014/main" id="{00000000-0008-0000-1100-000078000000}"/>
            </a:ext>
          </a:extLst>
        </xdr:cNvPr>
        <xdr:cNvGrpSpPr/>
      </xdr:nvGrpSpPr>
      <xdr:grpSpPr>
        <a:xfrm>
          <a:off x="1360170" y="4048126"/>
          <a:ext cx="2508960" cy="1000125"/>
          <a:chOff x="1381126" y="1666875"/>
          <a:chExt cx="2390774" cy="971550"/>
        </a:xfrm>
      </xdr:grpSpPr>
      <xdr:sp macro="" textlink="">
        <xdr:nvSpPr>
          <xdr:cNvPr id="121" name="Rectangle 120">
            <a:extLst>
              <a:ext uri="{FF2B5EF4-FFF2-40B4-BE49-F238E27FC236}">
                <a16:creationId xmlns:a16="http://schemas.microsoft.com/office/drawing/2014/main" id="{00000000-0008-0000-1100-000079000000}"/>
              </a:ext>
            </a:extLst>
          </xdr:cNvPr>
          <xdr:cNvSpPr/>
        </xdr:nvSpPr>
        <xdr:spPr>
          <a:xfrm>
            <a:off x="1381126" y="1666875"/>
            <a:ext cx="2390774" cy="97155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UNINDEXED</a:t>
            </a:r>
            <a:r>
              <a:rPr lang="en-GB" sz="1000" b="1" baseline="0"/>
              <a:t> ECONOMIC IMPACT</a:t>
            </a:r>
            <a:endParaRPr lang="en-GB" sz="1000" b="1"/>
          </a:p>
        </xdr:txBody>
      </xdr:sp>
      <xdr:pic>
        <xdr:nvPicPr>
          <xdr:cNvPr id="122" name="Picture 121">
            <a:extLst>
              <a:ext uri="{FF2B5EF4-FFF2-40B4-BE49-F238E27FC236}">
                <a16:creationId xmlns:a16="http://schemas.microsoft.com/office/drawing/2014/main" id="{00000000-0008-0000-1100-00007A000000}"/>
              </a:ext>
            </a:extLst>
          </xdr:cNvPr>
          <xdr:cNvPicPr>
            <a:picLocks noChangeAspect="1" noChangeArrowheads="1"/>
          </xdr:cNvPicPr>
        </xdr:nvPicPr>
        <xdr:blipFill>
          <a:blip xmlns:r="http://schemas.openxmlformats.org/officeDocument/2006/relationships" r:embed="rId15"/>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123" name="Rectangle 122">
            <a:extLst>
              <a:ext uri="{FF2B5EF4-FFF2-40B4-BE49-F238E27FC236}">
                <a16:creationId xmlns:a16="http://schemas.microsoft.com/office/drawing/2014/main" id="{00000000-0008-0000-1100-00007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16-22</a:t>
            </a:r>
          </a:p>
        </xdr:txBody>
      </xdr:sp>
    </xdr:grpSp>
    <xdr:clientData/>
  </xdr:twoCellAnchor>
  <xdr:twoCellAnchor>
    <xdr:from>
      <xdr:col>18</xdr:col>
      <xdr:colOff>409575</xdr:colOff>
      <xdr:row>24</xdr:row>
      <xdr:rowOff>133350</xdr:rowOff>
    </xdr:from>
    <xdr:to>
      <xdr:col>23</xdr:col>
      <xdr:colOff>428700</xdr:colOff>
      <xdr:row>29</xdr:row>
      <xdr:rowOff>104775</xdr:rowOff>
    </xdr:to>
    <xdr:grpSp>
      <xdr:nvGrpSpPr>
        <xdr:cNvPr id="128" name="Group 127">
          <a:extLst>
            <a:ext uri="{FF2B5EF4-FFF2-40B4-BE49-F238E27FC236}">
              <a16:creationId xmlns:a16="http://schemas.microsoft.com/office/drawing/2014/main" id="{00000000-0008-0000-1100-000080000000}"/>
            </a:ext>
          </a:extLst>
        </xdr:cNvPr>
        <xdr:cNvGrpSpPr/>
      </xdr:nvGrpSpPr>
      <xdr:grpSpPr>
        <a:xfrm>
          <a:off x="9477375" y="5253990"/>
          <a:ext cx="2533725" cy="1000125"/>
          <a:chOff x="1381126" y="1666875"/>
          <a:chExt cx="2390774" cy="971550"/>
        </a:xfrm>
      </xdr:grpSpPr>
      <xdr:sp macro="" textlink="">
        <xdr:nvSpPr>
          <xdr:cNvPr id="129" name="Rectangle 128">
            <a:extLst>
              <a:ext uri="{FF2B5EF4-FFF2-40B4-BE49-F238E27FC236}">
                <a16:creationId xmlns:a16="http://schemas.microsoft.com/office/drawing/2014/main" id="{00000000-0008-0000-1100-000081000000}"/>
              </a:ext>
            </a:extLst>
          </xdr:cNvPr>
          <xdr:cNvSpPr/>
        </xdr:nvSpPr>
        <xdr:spPr>
          <a:xfrm>
            <a:off x="1381126" y="1666875"/>
            <a:ext cx="2390774" cy="97155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i="0">
                <a:solidFill>
                  <a:schemeClr val="bg1"/>
                </a:solidFill>
              </a:rPr>
              <a:t>INDEXED</a:t>
            </a:r>
            <a:r>
              <a:rPr lang="en-GB" sz="1000" b="1" i="0" baseline="0">
                <a:solidFill>
                  <a:schemeClr val="bg1"/>
                </a:solidFill>
              </a:rPr>
              <a:t> </a:t>
            </a:r>
            <a:r>
              <a:rPr lang="en-GB" sz="1000" b="1" i="0">
                <a:solidFill>
                  <a:schemeClr val="bg1"/>
                </a:solidFill>
              </a:rPr>
              <a:t>FINANCIAL</a:t>
            </a:r>
            <a:r>
              <a:rPr lang="en-GB" sz="1000" b="1" i="0" baseline="0">
                <a:solidFill>
                  <a:schemeClr val="bg1"/>
                </a:solidFill>
              </a:rPr>
              <a:t> DATA</a:t>
            </a:r>
            <a:endParaRPr lang="en-GB" sz="1000" b="1" i="0">
              <a:solidFill>
                <a:schemeClr val="bg1"/>
              </a:solidFill>
            </a:endParaRPr>
          </a:p>
        </xdr:txBody>
      </xdr:sp>
      <xdr:pic>
        <xdr:nvPicPr>
          <xdr:cNvPr id="130" name="Picture 129">
            <a:extLst>
              <a:ext uri="{FF2B5EF4-FFF2-40B4-BE49-F238E27FC236}">
                <a16:creationId xmlns:a16="http://schemas.microsoft.com/office/drawing/2014/main" id="{00000000-0008-0000-1100-000082000000}"/>
              </a:ext>
            </a:extLst>
          </xdr:cNvPr>
          <xdr:cNvPicPr>
            <a:picLocks noChangeAspect="1" noChangeArrowheads="1"/>
          </xdr:cNvPicPr>
        </xdr:nvPicPr>
        <xdr:blipFill rotWithShape="1">
          <a:blip xmlns:r="http://schemas.openxmlformats.org/officeDocument/2006/relationships" r:embed="rId16"/>
          <a:srcRect r="50866"/>
          <a:stretch>
            <a:fillRect/>
          </a:stretch>
        </xdr:blipFill>
        <xdr:spPr bwMode="auto">
          <a:xfrm>
            <a:off x="1438275" y="1905002"/>
            <a:ext cx="538201"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31" name="Rectangle 130">
            <a:extLst>
              <a:ext uri="{FF2B5EF4-FFF2-40B4-BE49-F238E27FC236}">
                <a16:creationId xmlns:a16="http://schemas.microsoft.com/office/drawing/2014/main" id="{00000000-0008-0000-1100-000083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45-59</a:t>
            </a:r>
          </a:p>
        </xdr:txBody>
      </xdr:sp>
    </xdr:grpSp>
    <xdr:clientData/>
  </xdr:twoCellAnchor>
  <xdr:twoCellAnchor>
    <xdr:from>
      <xdr:col>4</xdr:col>
      <xdr:colOff>19050</xdr:colOff>
      <xdr:row>13</xdr:row>
      <xdr:rowOff>19050</xdr:rowOff>
    </xdr:from>
    <xdr:to>
      <xdr:col>7</xdr:col>
      <xdr:colOff>333450</xdr:colOff>
      <xdr:row>17</xdr:row>
      <xdr:rowOff>190500</xdr:rowOff>
    </xdr:to>
    <xdr:grpSp>
      <xdr:nvGrpSpPr>
        <xdr:cNvPr id="145" name="Group 144">
          <a:extLst>
            <a:ext uri="{FF2B5EF4-FFF2-40B4-BE49-F238E27FC236}">
              <a16:creationId xmlns:a16="http://schemas.microsoft.com/office/drawing/2014/main" id="{00000000-0008-0000-1100-000091000000}"/>
            </a:ext>
          </a:extLst>
        </xdr:cNvPr>
        <xdr:cNvGrpSpPr/>
      </xdr:nvGrpSpPr>
      <xdr:grpSpPr>
        <a:xfrm>
          <a:off x="1360170" y="2876550"/>
          <a:ext cx="2508960" cy="994410"/>
          <a:chOff x="1314450" y="2819400"/>
          <a:chExt cx="2448000" cy="971550"/>
        </a:xfrm>
        <a:effectLst/>
      </xdr:grpSpPr>
      <xdr:sp macro="" textlink="">
        <xdr:nvSpPr>
          <xdr:cNvPr id="137" name="Down Arrow Callout 136">
            <a:extLst>
              <a:ext uri="{FF2B5EF4-FFF2-40B4-BE49-F238E27FC236}">
                <a16:creationId xmlns:a16="http://schemas.microsoft.com/office/drawing/2014/main" id="{00000000-0008-0000-1100-000089000000}"/>
              </a:ext>
            </a:extLst>
          </xdr:cNvPr>
          <xdr:cNvSpPr/>
        </xdr:nvSpPr>
        <xdr:spPr>
          <a:xfrm>
            <a:off x="1314450" y="2819400"/>
            <a:ext cx="2448000" cy="971550"/>
          </a:xfrm>
          <a:prstGeom prst="downArrowCallout">
            <a:avLst>
              <a:gd name="adj1" fmla="val 251968"/>
              <a:gd name="adj2" fmla="val 125984"/>
              <a:gd name="adj3" fmla="val 25000"/>
              <a:gd name="adj4" fmla="val 75000"/>
            </a:avLst>
          </a:prstGeom>
          <a:solidFill>
            <a:schemeClr val="bg1">
              <a:lumMod val="6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140" name="Rectangle 139">
            <a:extLst>
              <a:ext uri="{FF2B5EF4-FFF2-40B4-BE49-F238E27FC236}">
                <a16:creationId xmlns:a16="http://schemas.microsoft.com/office/drawing/2014/main" id="{00000000-0008-0000-1100-00008C000000}"/>
              </a:ext>
            </a:extLst>
          </xdr:cNvPr>
          <xdr:cNvSpPr/>
        </xdr:nvSpPr>
        <xdr:spPr>
          <a:xfrm>
            <a:off x="1352550" y="2867025"/>
            <a:ext cx="2362200" cy="790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KEY IMPACT MEASURES:</a:t>
            </a:r>
          </a:p>
          <a:p>
            <a:pPr algn="ctr"/>
            <a:r>
              <a:rPr lang="en-GB" sz="1400" b="1">
                <a:solidFill>
                  <a:schemeClr val="bg1"/>
                </a:solidFill>
              </a:rPr>
              <a:t>MONTHLY</a:t>
            </a:r>
            <a:r>
              <a:rPr lang="en-GB" sz="1400" b="1" baseline="0">
                <a:solidFill>
                  <a:schemeClr val="bg1"/>
                </a:solidFill>
              </a:rPr>
              <a:t> DATA BY</a:t>
            </a:r>
          </a:p>
          <a:p>
            <a:pPr algn="ctr"/>
            <a:r>
              <a:rPr lang="en-GB" sz="1400" b="1" baseline="0">
                <a:solidFill>
                  <a:schemeClr val="bg1"/>
                </a:solidFill>
              </a:rPr>
              <a:t>VISITOR TYPE</a:t>
            </a:r>
            <a:endParaRPr lang="en-GB" sz="1400" b="1">
              <a:solidFill>
                <a:schemeClr val="bg1"/>
              </a:solidFill>
            </a:endParaRPr>
          </a:p>
        </xdr:txBody>
      </xdr:sp>
    </xdr:grpSp>
    <xdr:clientData/>
  </xdr:twoCellAnchor>
  <xdr:twoCellAnchor>
    <xdr:from>
      <xdr:col>13</xdr:col>
      <xdr:colOff>209550</xdr:colOff>
      <xdr:row>24</xdr:row>
      <xdr:rowOff>114300</xdr:rowOff>
    </xdr:from>
    <xdr:to>
      <xdr:col>18</xdr:col>
      <xdr:colOff>228675</xdr:colOff>
      <xdr:row>29</xdr:row>
      <xdr:rowOff>85725</xdr:rowOff>
    </xdr:to>
    <xdr:grpSp>
      <xdr:nvGrpSpPr>
        <xdr:cNvPr id="146" name="Group 145">
          <a:extLst>
            <a:ext uri="{FF2B5EF4-FFF2-40B4-BE49-F238E27FC236}">
              <a16:creationId xmlns:a16="http://schemas.microsoft.com/office/drawing/2014/main" id="{00000000-0008-0000-1100-000092000000}"/>
            </a:ext>
          </a:extLst>
        </xdr:cNvPr>
        <xdr:cNvGrpSpPr/>
      </xdr:nvGrpSpPr>
      <xdr:grpSpPr>
        <a:xfrm>
          <a:off x="6762750" y="5234940"/>
          <a:ext cx="2533725" cy="1000125"/>
          <a:chOff x="3924300" y="5114925"/>
          <a:chExt cx="2448000" cy="971550"/>
        </a:xfrm>
      </xdr:grpSpPr>
      <xdr:sp macro="" textlink="">
        <xdr:nvSpPr>
          <xdr:cNvPr id="143" name="Right Arrow Callout 142">
            <a:extLst>
              <a:ext uri="{FF2B5EF4-FFF2-40B4-BE49-F238E27FC236}">
                <a16:creationId xmlns:a16="http://schemas.microsoft.com/office/drawing/2014/main" id="{00000000-0008-0000-1100-00008F000000}"/>
              </a:ext>
            </a:extLst>
          </xdr:cNvPr>
          <xdr:cNvSpPr/>
        </xdr:nvSpPr>
        <xdr:spPr>
          <a:xfrm>
            <a:off x="3924300" y="5114925"/>
            <a:ext cx="2448000" cy="971550"/>
          </a:xfrm>
          <a:prstGeom prst="rightArrowCallout">
            <a:avLst>
              <a:gd name="adj1" fmla="val 100000"/>
              <a:gd name="adj2" fmla="val 50000"/>
              <a:gd name="adj3" fmla="val 30883"/>
              <a:gd name="adj4" fmla="val 82875"/>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144" name="Rectangle 143">
            <a:extLst>
              <a:ext uri="{FF2B5EF4-FFF2-40B4-BE49-F238E27FC236}">
                <a16:creationId xmlns:a16="http://schemas.microsoft.com/office/drawing/2014/main" id="{00000000-0008-0000-1100-000090000000}"/>
              </a:ext>
            </a:extLst>
          </xdr:cNvPr>
          <xdr:cNvSpPr/>
        </xdr:nvSpPr>
        <xdr:spPr>
          <a:xfrm>
            <a:off x="3962399" y="5162550"/>
            <a:ext cx="2371726" cy="876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ANNEX</a:t>
            </a:r>
          </a:p>
        </xdr:txBody>
      </xdr:sp>
    </xdr:grpSp>
    <xdr:clientData/>
  </xdr:twoCellAnchor>
  <xdr:twoCellAnchor>
    <xdr:from>
      <xdr:col>20</xdr:col>
      <xdr:colOff>76200</xdr:colOff>
      <xdr:row>25</xdr:row>
      <xdr:rowOff>171450</xdr:rowOff>
    </xdr:from>
    <xdr:to>
      <xdr:col>21</xdr:col>
      <xdr:colOff>141508</xdr:colOff>
      <xdr:row>29</xdr:row>
      <xdr:rowOff>46430</xdr:rowOff>
    </xdr:to>
    <xdr:pic>
      <xdr:nvPicPr>
        <xdr:cNvPr id="149" name="Picture 148">
          <a:extLst>
            <a:ext uri="{FF2B5EF4-FFF2-40B4-BE49-F238E27FC236}">
              <a16:creationId xmlns:a16="http://schemas.microsoft.com/office/drawing/2014/main" id="{00000000-0008-0000-1100-000095000000}"/>
            </a:ext>
          </a:extLst>
        </xdr:cNvPr>
        <xdr:cNvPicPr>
          <a:picLocks noChangeAspect="1" noChangeArrowheads="1"/>
        </xdr:cNvPicPr>
      </xdr:nvPicPr>
      <xdr:blipFill rotWithShape="1">
        <a:blip xmlns:r="http://schemas.openxmlformats.org/officeDocument/2006/relationships" r:embed="rId17"/>
        <a:srcRect r="50866"/>
        <a:stretch>
          <a:fillRect/>
        </a:stretch>
      </xdr:blipFill>
      <xdr:spPr bwMode="auto">
        <a:xfrm>
          <a:off x="9820275" y="5372100"/>
          <a:ext cx="551083"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clientData/>
  </xdr:twoCellAnchor>
  <xdr:twoCellAnchor>
    <xdr:from>
      <xdr:col>19</xdr:col>
      <xdr:colOff>476252</xdr:colOff>
      <xdr:row>25</xdr:row>
      <xdr:rowOff>172796</xdr:rowOff>
    </xdr:from>
    <xdr:to>
      <xdr:col>20</xdr:col>
      <xdr:colOff>123830</xdr:colOff>
      <xdr:row>29</xdr:row>
      <xdr:rowOff>46359</xdr:rowOff>
    </xdr:to>
    <xdr:sp macro="" textlink="">
      <xdr:nvSpPr>
        <xdr:cNvPr id="147" name="Wave 146">
          <a:extLst>
            <a:ext uri="{FF2B5EF4-FFF2-40B4-BE49-F238E27FC236}">
              <a16:creationId xmlns:a16="http://schemas.microsoft.com/office/drawing/2014/main" id="{00000000-0008-0000-1100-000093000000}"/>
            </a:ext>
          </a:extLst>
        </xdr:cNvPr>
        <xdr:cNvSpPr/>
      </xdr:nvSpPr>
      <xdr:spPr>
        <a:xfrm rot="16200000">
          <a:off x="9464397" y="5643601"/>
          <a:ext cx="673663" cy="133353"/>
        </a:xfrm>
        <a:prstGeom prst="wave">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342900</xdr:colOff>
      <xdr:row>5</xdr:row>
      <xdr:rowOff>9525</xdr:rowOff>
    </xdr:from>
    <xdr:to>
      <xdr:col>18</xdr:col>
      <xdr:colOff>342900</xdr:colOff>
      <xdr:row>7</xdr:row>
      <xdr:rowOff>9525</xdr:rowOff>
    </xdr:to>
    <xdr:cxnSp macro="">
      <xdr:nvCxnSpPr>
        <xdr:cNvPr id="151" name="Straight Connector 150">
          <a:extLst>
            <a:ext uri="{FF2B5EF4-FFF2-40B4-BE49-F238E27FC236}">
              <a16:creationId xmlns:a16="http://schemas.microsoft.com/office/drawing/2014/main" id="{00000000-0008-0000-1100-000097000000}"/>
            </a:ext>
          </a:extLst>
        </xdr:cNvPr>
        <xdr:cNvCxnSpPr/>
      </xdr:nvCxnSpPr>
      <xdr:spPr>
        <a:xfrm>
          <a:off x="9115425" y="1209675"/>
          <a:ext cx="0" cy="40005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xdr:colOff>
      <xdr:row>24</xdr:row>
      <xdr:rowOff>123825</xdr:rowOff>
    </xdr:from>
    <xdr:to>
      <xdr:col>7</xdr:col>
      <xdr:colOff>333450</xdr:colOff>
      <xdr:row>29</xdr:row>
      <xdr:rowOff>95250</xdr:rowOff>
    </xdr:to>
    <xdr:grpSp>
      <xdr:nvGrpSpPr>
        <xdr:cNvPr id="70" name="Group 69">
          <a:extLst>
            <a:ext uri="{FF2B5EF4-FFF2-40B4-BE49-F238E27FC236}">
              <a16:creationId xmlns:a16="http://schemas.microsoft.com/office/drawing/2014/main" id="{00000000-0008-0000-1100-000046000000}"/>
            </a:ext>
          </a:extLst>
        </xdr:cNvPr>
        <xdr:cNvGrpSpPr/>
      </xdr:nvGrpSpPr>
      <xdr:grpSpPr>
        <a:xfrm>
          <a:off x="1360170" y="5244465"/>
          <a:ext cx="2508960" cy="1000125"/>
          <a:chOff x="1314450" y="2819400"/>
          <a:chExt cx="2448000" cy="971550"/>
        </a:xfrm>
        <a:solidFill>
          <a:schemeClr val="accent1">
            <a:lumMod val="50000"/>
          </a:schemeClr>
        </a:solidFill>
        <a:effectLst/>
      </xdr:grpSpPr>
      <xdr:sp macro="" textlink="">
        <xdr:nvSpPr>
          <xdr:cNvPr id="71" name="Down Arrow Callout 70">
            <a:extLst>
              <a:ext uri="{FF2B5EF4-FFF2-40B4-BE49-F238E27FC236}">
                <a16:creationId xmlns:a16="http://schemas.microsoft.com/office/drawing/2014/main" id="{00000000-0008-0000-1100-000047000000}"/>
              </a:ext>
            </a:extLst>
          </xdr:cNvPr>
          <xdr:cNvSpPr/>
        </xdr:nvSpPr>
        <xdr:spPr>
          <a:xfrm>
            <a:off x="1314450" y="2819400"/>
            <a:ext cx="2448000" cy="971550"/>
          </a:xfrm>
          <a:prstGeom prst="downArrowCallout">
            <a:avLst>
              <a:gd name="adj1" fmla="val 251968"/>
              <a:gd name="adj2" fmla="val 125984"/>
              <a:gd name="adj3" fmla="val 25000"/>
              <a:gd name="adj4" fmla="val 75000"/>
            </a:avLst>
          </a:prstGeom>
          <a:grp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76" name="Rectangle 75">
            <a:extLst>
              <a:ext uri="{FF2B5EF4-FFF2-40B4-BE49-F238E27FC236}">
                <a16:creationId xmlns:a16="http://schemas.microsoft.com/office/drawing/2014/main" id="{00000000-0008-0000-1100-00004C000000}"/>
              </a:ext>
            </a:extLst>
          </xdr:cNvPr>
          <xdr:cNvSpPr/>
        </xdr:nvSpPr>
        <xdr:spPr>
          <a:xfrm>
            <a:off x="1352550" y="2867025"/>
            <a:ext cx="2362200" cy="790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APPENDICES</a:t>
            </a:r>
          </a:p>
        </xdr:txBody>
      </xdr:sp>
    </xdr:grpSp>
    <xdr:clientData/>
  </xdr:twoCellAnchor>
  <xdr:twoCellAnchor>
    <xdr:from>
      <xdr:col>8</xdr:col>
      <xdr:colOff>0</xdr:colOff>
      <xdr:row>30</xdr:row>
      <xdr:rowOff>114300</xdr:rowOff>
    </xdr:from>
    <xdr:to>
      <xdr:col>13</xdr:col>
      <xdr:colOff>19125</xdr:colOff>
      <xdr:row>35</xdr:row>
      <xdr:rowOff>85725</xdr:rowOff>
    </xdr:to>
    <xdr:grpSp>
      <xdr:nvGrpSpPr>
        <xdr:cNvPr id="125" name="Group 124">
          <a:extLst>
            <a:ext uri="{FF2B5EF4-FFF2-40B4-BE49-F238E27FC236}">
              <a16:creationId xmlns:a16="http://schemas.microsoft.com/office/drawing/2014/main" id="{00000000-0008-0000-1100-00007D000000}"/>
            </a:ext>
          </a:extLst>
        </xdr:cNvPr>
        <xdr:cNvGrpSpPr/>
      </xdr:nvGrpSpPr>
      <xdr:grpSpPr>
        <a:xfrm>
          <a:off x="4038600" y="6469380"/>
          <a:ext cx="2533725" cy="1000125"/>
          <a:chOff x="1381126" y="1666875"/>
          <a:chExt cx="2390774" cy="971550"/>
        </a:xfrm>
      </xdr:grpSpPr>
      <xdr:sp macro="" textlink="">
        <xdr:nvSpPr>
          <xdr:cNvPr id="126" name="Rectangle 125">
            <a:extLst>
              <a:ext uri="{FF2B5EF4-FFF2-40B4-BE49-F238E27FC236}">
                <a16:creationId xmlns:a16="http://schemas.microsoft.com/office/drawing/2014/main" id="{00000000-0008-0000-1100-00007E000000}"/>
              </a:ext>
            </a:extLst>
          </xdr:cNvPr>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TOURIST DAYS</a:t>
            </a:r>
          </a:p>
        </xdr:txBody>
      </xdr:sp>
      <xdr:sp macro="" textlink="">
        <xdr:nvSpPr>
          <xdr:cNvPr id="132" name="Rectangle 131">
            <a:extLst>
              <a:ext uri="{FF2B5EF4-FFF2-40B4-BE49-F238E27FC236}">
                <a16:creationId xmlns:a16="http://schemas.microsoft.com/office/drawing/2014/main" id="{00000000-0008-0000-1100-000084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13</xdr:col>
      <xdr:colOff>200025</xdr:colOff>
      <xdr:row>30</xdr:row>
      <xdr:rowOff>114300</xdr:rowOff>
    </xdr:from>
    <xdr:to>
      <xdr:col>18</xdr:col>
      <xdr:colOff>219150</xdr:colOff>
      <xdr:row>35</xdr:row>
      <xdr:rowOff>85725</xdr:rowOff>
    </xdr:to>
    <xdr:grpSp>
      <xdr:nvGrpSpPr>
        <xdr:cNvPr id="133" name="Group 132">
          <a:extLst>
            <a:ext uri="{FF2B5EF4-FFF2-40B4-BE49-F238E27FC236}">
              <a16:creationId xmlns:a16="http://schemas.microsoft.com/office/drawing/2014/main" id="{00000000-0008-0000-1100-000085000000}"/>
            </a:ext>
          </a:extLst>
        </xdr:cNvPr>
        <xdr:cNvGrpSpPr/>
      </xdr:nvGrpSpPr>
      <xdr:grpSpPr>
        <a:xfrm>
          <a:off x="6753225" y="6469380"/>
          <a:ext cx="2533725" cy="1000125"/>
          <a:chOff x="1381126" y="1666875"/>
          <a:chExt cx="2390774" cy="971550"/>
        </a:xfrm>
      </xdr:grpSpPr>
      <xdr:sp macro="" textlink="">
        <xdr:nvSpPr>
          <xdr:cNvPr id="134" name="Rectangle 133">
            <a:extLst>
              <a:ext uri="{FF2B5EF4-FFF2-40B4-BE49-F238E27FC236}">
                <a16:creationId xmlns:a16="http://schemas.microsoft.com/office/drawing/2014/main" id="{00000000-0008-0000-1100-000086000000}"/>
              </a:ext>
            </a:extLst>
          </xdr:cNvPr>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TOURIST NUMBERS</a:t>
            </a:r>
          </a:p>
        </xdr:txBody>
      </xdr:sp>
      <xdr:sp macro="" textlink="">
        <xdr:nvSpPr>
          <xdr:cNvPr id="136" name="Rectangle 135">
            <a:extLst>
              <a:ext uri="{FF2B5EF4-FFF2-40B4-BE49-F238E27FC236}">
                <a16:creationId xmlns:a16="http://schemas.microsoft.com/office/drawing/2014/main" id="{00000000-0008-0000-1100-000088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18</xdr:col>
      <xdr:colOff>419100</xdr:colOff>
      <xdr:row>30</xdr:row>
      <xdr:rowOff>114300</xdr:rowOff>
    </xdr:from>
    <xdr:to>
      <xdr:col>23</xdr:col>
      <xdr:colOff>438225</xdr:colOff>
      <xdr:row>35</xdr:row>
      <xdr:rowOff>85725</xdr:rowOff>
    </xdr:to>
    <xdr:grpSp>
      <xdr:nvGrpSpPr>
        <xdr:cNvPr id="138" name="Group 137">
          <a:extLst>
            <a:ext uri="{FF2B5EF4-FFF2-40B4-BE49-F238E27FC236}">
              <a16:creationId xmlns:a16="http://schemas.microsoft.com/office/drawing/2014/main" id="{00000000-0008-0000-1100-00008A000000}"/>
            </a:ext>
          </a:extLst>
        </xdr:cNvPr>
        <xdr:cNvGrpSpPr/>
      </xdr:nvGrpSpPr>
      <xdr:grpSpPr>
        <a:xfrm>
          <a:off x="9486900" y="6469380"/>
          <a:ext cx="2533725" cy="1000125"/>
          <a:chOff x="1381126" y="1666875"/>
          <a:chExt cx="2390774" cy="971550"/>
        </a:xfrm>
      </xdr:grpSpPr>
      <xdr:sp macro="" textlink="">
        <xdr:nvSpPr>
          <xdr:cNvPr id="139" name="Rectangle 138">
            <a:extLst>
              <a:ext uri="{FF2B5EF4-FFF2-40B4-BE49-F238E27FC236}">
                <a16:creationId xmlns:a16="http://schemas.microsoft.com/office/drawing/2014/main" id="{00000000-0008-0000-1100-00008B000000}"/>
              </a:ext>
            </a:extLst>
          </xdr:cNvPr>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DIRECT AND TOTAL</a:t>
            </a:r>
            <a:r>
              <a:rPr lang="en-GB" sz="1000" b="1" baseline="0">
                <a:solidFill>
                  <a:schemeClr val="bg1"/>
                </a:solidFill>
              </a:rPr>
              <a:t> </a:t>
            </a:r>
            <a:r>
              <a:rPr lang="en-GB" sz="1000" b="1">
                <a:solidFill>
                  <a:schemeClr val="bg1"/>
                </a:solidFill>
              </a:rPr>
              <a:t>EMPLOYMENT</a:t>
            </a:r>
          </a:p>
        </xdr:txBody>
      </xdr:sp>
      <xdr:sp macro="" textlink="">
        <xdr:nvSpPr>
          <xdr:cNvPr id="142" name="Rectangle 141">
            <a:extLst>
              <a:ext uri="{FF2B5EF4-FFF2-40B4-BE49-F238E27FC236}">
                <a16:creationId xmlns:a16="http://schemas.microsoft.com/office/drawing/2014/main" id="{00000000-0008-0000-1100-00008E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4</xdr:col>
      <xdr:colOff>28575</xdr:colOff>
      <xdr:row>30</xdr:row>
      <xdr:rowOff>95251</xdr:rowOff>
    </xdr:from>
    <xdr:to>
      <xdr:col>7</xdr:col>
      <xdr:colOff>342975</xdr:colOff>
      <xdr:row>35</xdr:row>
      <xdr:rowOff>66676</xdr:rowOff>
    </xdr:to>
    <xdr:grpSp>
      <xdr:nvGrpSpPr>
        <xdr:cNvPr id="148" name="Group 147">
          <a:extLst>
            <a:ext uri="{FF2B5EF4-FFF2-40B4-BE49-F238E27FC236}">
              <a16:creationId xmlns:a16="http://schemas.microsoft.com/office/drawing/2014/main" id="{00000000-0008-0000-1100-000094000000}"/>
            </a:ext>
          </a:extLst>
        </xdr:cNvPr>
        <xdr:cNvGrpSpPr/>
      </xdr:nvGrpSpPr>
      <xdr:grpSpPr>
        <a:xfrm>
          <a:off x="1369695" y="6450331"/>
          <a:ext cx="2508960" cy="1000125"/>
          <a:chOff x="1381126" y="1666875"/>
          <a:chExt cx="2390774" cy="971550"/>
        </a:xfrm>
        <a:solidFill>
          <a:schemeClr val="bg1">
            <a:lumMod val="75000"/>
          </a:schemeClr>
        </a:solidFill>
      </xdr:grpSpPr>
      <xdr:sp macro="" textlink="">
        <xdr:nvSpPr>
          <xdr:cNvPr id="150" name="Rectangle 149">
            <a:extLst>
              <a:ext uri="{FF2B5EF4-FFF2-40B4-BE49-F238E27FC236}">
                <a16:creationId xmlns:a16="http://schemas.microsoft.com/office/drawing/2014/main" id="{00000000-0008-0000-1100-000096000000}"/>
              </a:ext>
            </a:extLst>
          </xdr:cNvPr>
          <xdr:cNvSpPr/>
        </xdr:nvSpPr>
        <xdr:spPr>
          <a:xfrm>
            <a:off x="1381126" y="1666875"/>
            <a:ext cx="2390774" cy="9715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STEAM OVERVIEW</a:t>
            </a:r>
          </a:p>
        </xdr:txBody>
      </xdr:sp>
      <xdr:sp macro="" textlink="">
        <xdr:nvSpPr>
          <xdr:cNvPr id="153" name="Rectangle 152">
            <a:extLst>
              <a:ext uri="{FF2B5EF4-FFF2-40B4-BE49-F238E27FC236}">
                <a16:creationId xmlns:a16="http://schemas.microsoft.com/office/drawing/2014/main" id="{00000000-0008-0000-1100-000099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bg1">
                    <a:lumMod val="50000"/>
                  </a:schemeClr>
                </a:solidFill>
              </a:rPr>
              <a:t>A-1</a:t>
            </a:r>
          </a:p>
        </xdr:txBody>
      </xdr:sp>
    </xdr:grpSp>
    <xdr:clientData/>
  </xdr:twoCellAnchor>
  <xdr:twoCellAnchor>
    <xdr:from>
      <xdr:col>4</xdr:col>
      <xdr:colOff>542925</xdr:colOff>
      <xdr:row>32</xdr:row>
      <xdr:rowOff>58382</xdr:rowOff>
    </xdr:from>
    <xdr:to>
      <xdr:col>4</xdr:col>
      <xdr:colOff>809625</xdr:colOff>
      <xdr:row>34</xdr:row>
      <xdr:rowOff>9253</xdr:rowOff>
    </xdr:to>
    <xdr:pic>
      <xdr:nvPicPr>
        <xdr:cNvPr id="155" name="Picture 154">
          <a:extLst>
            <a:ext uri="{FF2B5EF4-FFF2-40B4-BE49-F238E27FC236}">
              <a16:creationId xmlns:a16="http://schemas.microsoft.com/office/drawing/2014/main" id="{00000000-0008-0000-1100-00009B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838325" y="6659207"/>
          <a:ext cx="266700" cy="350921"/>
        </a:xfrm>
        <a:prstGeom prst="roundRect">
          <a:avLst>
            <a:gd name="adj" fmla="val 8594"/>
          </a:avLst>
        </a:prstGeom>
        <a:solidFill>
          <a:srgbClr val="FFFFFF">
            <a:shade val="85000"/>
          </a:srgbClr>
        </a:solidFill>
        <a:ln>
          <a:noFill/>
        </a:ln>
        <a:effectLst/>
      </xdr:spPr>
    </xdr:pic>
    <xdr:clientData/>
  </xdr:twoCellAnchor>
  <xdr:twoCellAnchor>
    <xdr:from>
      <xdr:col>7</xdr:col>
      <xdr:colOff>409576</xdr:colOff>
      <xdr:row>30</xdr:row>
      <xdr:rowOff>38100</xdr:rowOff>
    </xdr:from>
    <xdr:to>
      <xdr:col>23</xdr:col>
      <xdr:colOff>466726</xdr:colOff>
      <xdr:row>35</xdr:row>
      <xdr:rowOff>190500</xdr:rowOff>
    </xdr:to>
    <xdr:sp macro="" textlink="">
      <xdr:nvSpPr>
        <xdr:cNvPr id="9" name="Rectangle 8">
          <a:extLst>
            <a:ext uri="{FF2B5EF4-FFF2-40B4-BE49-F238E27FC236}">
              <a16:creationId xmlns:a16="http://schemas.microsoft.com/office/drawing/2014/main" id="{00000000-0008-0000-1100-000009000000}"/>
            </a:ext>
          </a:extLst>
        </xdr:cNvPr>
        <xdr:cNvSpPr/>
      </xdr:nvSpPr>
      <xdr:spPr>
        <a:xfrm>
          <a:off x="3838576" y="6238875"/>
          <a:ext cx="7829550" cy="11525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3</xdr:col>
      <xdr:colOff>314325</xdr:colOff>
      <xdr:row>24</xdr:row>
      <xdr:rowOff>19049</xdr:rowOff>
    </xdr:from>
    <xdr:to>
      <xdr:col>7</xdr:col>
      <xdr:colOff>419100</xdr:colOff>
      <xdr:row>36</xdr:row>
      <xdr:rowOff>28574</xdr:rowOff>
    </xdr:to>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9"/>
        <a:stretch>
          <a:fillRect/>
        </a:stretch>
      </xdr:blipFill>
      <xdr:spPr>
        <a:xfrm>
          <a:off x="1285875" y="5019674"/>
          <a:ext cx="2562225" cy="2409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200-000003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a:extLst>
            <a:ext uri="{FF2B5EF4-FFF2-40B4-BE49-F238E27FC236}">
              <a16:creationId xmlns:a16="http://schemas.microsoft.com/office/drawing/2014/main" id="{00000000-0008-0000-0200-000006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a:extLst>
            <a:ext uri="{FF2B5EF4-FFF2-40B4-BE49-F238E27FC236}">
              <a16:creationId xmlns:a16="http://schemas.microsoft.com/office/drawing/2014/main" id="{00000000-0008-0000-0200-000007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8" name="TextBox 7">
          <a:extLst>
            <a:ext uri="{FF2B5EF4-FFF2-40B4-BE49-F238E27FC236}">
              <a16:creationId xmlns:a16="http://schemas.microsoft.com/office/drawing/2014/main" id="{00000000-0008-0000-0200-000008000000}"/>
            </a:ext>
          </a:extLst>
        </xdr:cNvPr>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681790</xdr:colOff>
      <xdr:row>1</xdr:row>
      <xdr:rowOff>1</xdr:rowOff>
    </xdr:from>
    <xdr:to>
      <xdr:col>20</xdr:col>
      <xdr:colOff>792079</xdr:colOff>
      <xdr:row>4</xdr:row>
      <xdr:rowOff>130342</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12242132" y="180475"/>
          <a:ext cx="4321342" cy="671762"/>
        </a:xfrm>
        <a:prstGeom prst="rect">
          <a:avLst/>
        </a:prstGeom>
        <a:solidFill>
          <a:srgbClr val="00B050"/>
        </a:solidFill>
        <a:ln>
          <a:solidFill>
            <a:schemeClr val="accent1">
              <a:lumMod val="50000"/>
            </a:schemeClr>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1800" b="1"/>
            <a:t>ALL £'s HISTORIC PRICES</a:t>
          </a:r>
        </a:p>
        <a:p>
          <a:pPr algn="ctr"/>
          <a:r>
            <a:rPr lang="en-GB" sz="1050" b="0"/>
            <a:t>Inflationary</a:t>
          </a:r>
          <a:r>
            <a:rPr lang="en-GB" sz="1050" b="0" baseline="0"/>
            <a:t> Adjustments Not Available for this Sheet</a:t>
          </a:r>
          <a:endParaRPr lang="en-GB" sz="1050" b="0"/>
        </a:p>
      </xdr:txBody>
    </xdr:sp>
    <xdr:clientData fPrintsWithSheet="0"/>
  </xdr:twoCellAnchor>
  <xdr:twoCellAnchor editAs="oneCell">
    <xdr:from>
      <xdr:col>14</xdr:col>
      <xdr:colOff>576792</xdr:colOff>
      <xdr:row>0</xdr:row>
      <xdr:rowOff>155576</xdr:rowOff>
    </xdr:from>
    <xdr:to>
      <xdr:col>15</xdr:col>
      <xdr:colOff>553531</xdr:colOff>
      <xdr:row>5</xdr:row>
      <xdr:rowOff>2976</xdr:rowOff>
    </xdr:to>
    <xdr:pic>
      <xdr:nvPicPr>
        <xdr:cNvPr id="3" name="Picture 2">
          <a:hlinkClick xmlns:r="http://schemas.openxmlformats.org/officeDocument/2006/relationships" r:id="rId1" tooltip="Home - Navigation Page"/>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grayscl/>
          <a:extLst>
            <a:ext uri="{28A0092B-C50C-407E-A947-70E740481C1C}">
              <a14:useLocalDpi xmlns:a14="http://schemas.microsoft.com/office/drawing/2010/main" val="0"/>
            </a:ext>
          </a:extLst>
        </a:blip>
        <a:stretch>
          <a:fillRect/>
        </a:stretch>
      </xdr:blipFill>
      <xdr:spPr>
        <a:xfrm>
          <a:off x="14507105" y="155576"/>
          <a:ext cx="788034" cy="763694"/>
        </a:xfrm>
        <a:prstGeom prst="rect">
          <a:avLst/>
        </a:prstGeom>
      </xdr:spPr>
    </xdr:pic>
    <xdr:clientData/>
  </xdr:twoCellAnchor>
  <xdr:twoCellAnchor>
    <xdr:from>
      <xdr:col>11</xdr:col>
      <xdr:colOff>666751</xdr:colOff>
      <xdr:row>1</xdr:row>
      <xdr:rowOff>0</xdr:rowOff>
    </xdr:from>
    <xdr:to>
      <xdr:col>14</xdr:col>
      <xdr:colOff>526099</xdr:colOff>
      <xdr:row>5</xdr:row>
      <xdr:rowOff>52917</xdr:rowOff>
    </xdr:to>
    <xdr:sp macro="" textlink="">
      <xdr:nvSpPr>
        <xdr:cNvPr id="7" name="Rectangle 6">
          <a:extLst>
            <a:ext uri="{FF2B5EF4-FFF2-40B4-BE49-F238E27FC236}">
              <a16:creationId xmlns:a16="http://schemas.microsoft.com/office/drawing/2014/main" id="{00000000-0008-0000-1200-000007000000}"/>
            </a:ext>
          </a:extLst>
        </xdr:cNvPr>
        <xdr:cNvSpPr/>
      </xdr:nvSpPr>
      <xdr:spPr>
        <a:xfrm>
          <a:off x="9715501" y="179917"/>
          <a:ext cx="3034348" cy="772583"/>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200" b="1">
              <a:solidFill>
                <a:schemeClr val="bg1"/>
              </a:solidFill>
            </a:rPr>
            <a:t>Pressing this on-screen "Home" button on</a:t>
          </a:r>
          <a:r>
            <a:rPr lang="en-GB" sz="1200" b="1" baseline="0">
              <a:solidFill>
                <a:schemeClr val="bg1"/>
              </a:solidFill>
            </a:rPr>
            <a:t> any sheet of the report takes you back to the navigation page</a:t>
          </a:r>
          <a:endParaRPr lang="en-GB" sz="1200" b="0" i="1" baseline="0">
            <a:solidFill>
              <a:schemeClr val="bg1"/>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300-000003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300-000004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a:extLst>
            <a:ext uri="{FF2B5EF4-FFF2-40B4-BE49-F238E27FC236}">
              <a16:creationId xmlns:a16="http://schemas.microsoft.com/office/drawing/2014/main" id="{00000000-0008-0000-0300-000006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a:extLst>
            <a:ext uri="{FF2B5EF4-FFF2-40B4-BE49-F238E27FC236}">
              <a16:creationId xmlns:a16="http://schemas.microsoft.com/office/drawing/2014/main" id="{00000000-0008-0000-0300-000007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314325</xdr:colOff>
      <xdr:row>4</xdr:row>
      <xdr:rowOff>0</xdr:rowOff>
    </xdr:from>
    <xdr:to>
      <xdr:col>16</xdr:col>
      <xdr:colOff>148365</xdr:colOff>
      <xdr:row>4</xdr:row>
      <xdr:rowOff>327600</xdr:rowOff>
    </xdr:to>
    <xdr:sp macro="" textlink="">
      <xdr:nvSpPr>
        <xdr:cNvPr id="64" name="Rectangle 63">
          <a:extLst>
            <a:ext uri="{FF2B5EF4-FFF2-40B4-BE49-F238E27FC236}">
              <a16:creationId xmlns:a16="http://schemas.microsoft.com/office/drawing/2014/main" id="{00000000-0008-0000-0400-000040000000}"/>
            </a:ext>
          </a:extLst>
        </xdr:cNvPr>
        <xdr:cNvSpPr/>
      </xdr:nvSpPr>
      <xdr:spPr>
        <a:xfrm>
          <a:off x="6457950" y="866775"/>
          <a:ext cx="1205640" cy="327600"/>
        </a:xfrm>
        <a:prstGeom prst="rect">
          <a:avLst/>
        </a:prstGeom>
        <a:solidFill>
          <a:schemeClr val="accent1"/>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1234440</xdr:colOff>
      <xdr:row>3</xdr:row>
      <xdr:rowOff>304801</xdr:rowOff>
    </xdr:from>
    <xdr:to>
      <xdr:col>7</xdr:col>
      <xdr:colOff>15240</xdr:colOff>
      <xdr:row>4</xdr:row>
      <xdr:rowOff>329521</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2575560" y="845821"/>
          <a:ext cx="94488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COMPARISON</a:t>
          </a:r>
        </a:p>
        <a:p>
          <a:pPr algn="ctr"/>
          <a:r>
            <a:rPr lang="en-GB" sz="900" b="1">
              <a:solidFill>
                <a:schemeClr val="bg1"/>
              </a:solidFill>
            </a:rPr>
            <a:t>YEAR</a:t>
          </a:r>
          <a:endParaRPr lang="en-GB" sz="900" b="1" baseline="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5" name="Picture 4" descr="logovvsm.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6" name="TextBox 5">
          <a:extLst>
            <a:ext uri="{FF2B5EF4-FFF2-40B4-BE49-F238E27FC236}">
              <a16:creationId xmlns:a16="http://schemas.microsoft.com/office/drawing/2014/main" id="{00000000-0008-0000-0400-000006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a:extLst>
            <a:ext uri="{FF2B5EF4-FFF2-40B4-BE49-F238E27FC236}">
              <a16:creationId xmlns:a16="http://schemas.microsoft.com/office/drawing/2014/main" id="{00000000-0008-0000-0400-000008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 Each sheet has a set of controls, allowing a range of adjustments.</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2" tooltip="Home - Navigation Page"/>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281940</xdr:colOff>
      <xdr:row>3</xdr:row>
      <xdr:rowOff>304801</xdr:rowOff>
    </xdr:from>
    <xdr:to>
      <xdr:col>21</xdr:col>
      <xdr:colOff>192180</xdr:colOff>
      <xdr:row>4</xdr:row>
      <xdr:rowOff>329521</xdr:rowOff>
    </xdr:to>
    <xdr:sp macro="" textlink="">
      <xdr:nvSpPr>
        <xdr:cNvPr id="11" name="Rectangle 10">
          <a:extLst>
            <a:ext uri="{FF2B5EF4-FFF2-40B4-BE49-F238E27FC236}">
              <a16:creationId xmlns:a16="http://schemas.microsoft.com/office/drawing/2014/main" id="{00000000-0008-0000-0400-00000B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25953" name="Drop Down 1" hidden="1">
              <a:extLst>
                <a:ext uri="{63B3BB69-23CF-44E3-9099-C40C66FF867C}">
                  <a14:compatExt spid="_x0000_s125953"/>
                </a:ext>
                <a:ext uri="{FF2B5EF4-FFF2-40B4-BE49-F238E27FC236}">
                  <a16:creationId xmlns:a16="http://schemas.microsoft.com/office/drawing/2014/main" id="{00000000-0008-0000-0400-000001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xdr:row>
          <xdr:rowOff>22860</xdr:rowOff>
        </xdr:from>
        <xdr:to>
          <xdr:col>8</xdr:col>
          <xdr:colOff>137160</xdr:colOff>
          <xdr:row>4</xdr:row>
          <xdr:rowOff>297180</xdr:rowOff>
        </xdr:to>
        <xdr:sp macro="" textlink="">
          <xdr:nvSpPr>
            <xdr:cNvPr id="125954" name="Drop Down 2" hidden="1">
              <a:extLst>
                <a:ext uri="{63B3BB69-23CF-44E3-9099-C40C66FF867C}">
                  <a14:compatExt spid="_x0000_s125954"/>
                </a:ext>
                <a:ext uri="{FF2B5EF4-FFF2-40B4-BE49-F238E27FC236}">
                  <a16:creationId xmlns:a16="http://schemas.microsoft.com/office/drawing/2014/main" id="{00000000-0008-0000-0400-000002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25955" name="Drop Down 3" hidden="1">
              <a:extLst>
                <a:ext uri="{63B3BB69-23CF-44E3-9099-C40C66FF867C}">
                  <a14:compatExt spid="_x0000_s125955"/>
                </a:ext>
                <a:ext uri="{FF2B5EF4-FFF2-40B4-BE49-F238E27FC236}">
                  <a16:creationId xmlns:a16="http://schemas.microsoft.com/office/drawing/2014/main" id="{00000000-0008-0000-0400-000003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15240</xdr:colOff>
      <xdr:row>4</xdr:row>
      <xdr:rowOff>0</xdr:rowOff>
    </xdr:from>
    <xdr:to>
      <xdr:col>4</xdr:col>
      <xdr:colOff>579120</xdr:colOff>
      <xdr:row>4</xdr:row>
      <xdr:rowOff>327660</xdr:rowOff>
    </xdr:to>
    <xdr:sp macro="" textlink="">
      <xdr:nvSpPr>
        <xdr:cNvPr id="20" name="Rectangle 19">
          <a:extLst>
            <a:ext uri="{FF2B5EF4-FFF2-40B4-BE49-F238E27FC236}">
              <a16:creationId xmlns:a16="http://schemas.microsoft.com/office/drawing/2014/main" id="{00000000-0008-0000-0400-000014000000}"/>
            </a:ext>
          </a:extLst>
        </xdr:cNvPr>
        <xdr:cNvSpPr/>
      </xdr:nvSpPr>
      <xdr:spPr>
        <a:xfrm>
          <a:off x="1356360" y="876300"/>
          <a:ext cx="563880" cy="327660"/>
        </a:xfrm>
        <a:prstGeom prst="rect">
          <a:avLst/>
        </a:prstGeom>
        <a:solidFill>
          <a:schemeClr val="tx2"/>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FOCUS</a:t>
          </a:r>
        </a:p>
        <a:p>
          <a:pPr algn="ctr"/>
          <a:r>
            <a:rPr lang="en-GB" sz="900" b="1" baseline="0">
              <a:solidFill>
                <a:schemeClr val="bg1"/>
              </a:solidFill>
            </a:rPr>
            <a:t>YEAR</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601980</xdr:colOff>
          <xdr:row>4</xdr:row>
          <xdr:rowOff>22860</xdr:rowOff>
        </xdr:from>
        <xdr:to>
          <xdr:col>4</xdr:col>
          <xdr:colOff>1318260</xdr:colOff>
          <xdr:row>4</xdr:row>
          <xdr:rowOff>297180</xdr:rowOff>
        </xdr:to>
        <xdr:sp macro="" textlink="">
          <xdr:nvSpPr>
            <xdr:cNvPr id="125956" name="Drop Down 4" hidden="1">
              <a:extLst>
                <a:ext uri="{63B3BB69-23CF-44E3-9099-C40C66FF867C}">
                  <a14:compatExt spid="_x0000_s125956"/>
                </a:ext>
                <a:ext uri="{FF2B5EF4-FFF2-40B4-BE49-F238E27FC236}">
                  <a16:creationId xmlns:a16="http://schemas.microsoft.com/office/drawing/2014/main" id="{00000000-0008-0000-0400-000004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106678</xdr:colOff>
      <xdr:row>9</xdr:row>
      <xdr:rowOff>91440</xdr:rowOff>
    </xdr:from>
    <xdr:to>
      <xdr:col>6</xdr:col>
      <xdr:colOff>323038</xdr:colOff>
      <xdr:row>19</xdr:row>
      <xdr:rowOff>110273</xdr:rowOff>
    </xdr:to>
    <xdr:grpSp>
      <xdr:nvGrpSpPr>
        <xdr:cNvPr id="21" name="Group 20">
          <a:hlinkClick xmlns:r="http://schemas.openxmlformats.org/officeDocument/2006/relationships" r:id="rId4" tooltip="Comparative Headlines - Compares two years across the key impact measures."/>
          <a:extLst>
            <a:ext uri="{FF2B5EF4-FFF2-40B4-BE49-F238E27FC236}">
              <a16:creationId xmlns:a16="http://schemas.microsoft.com/office/drawing/2014/main" id="{00000000-0008-0000-0400-000015000000}"/>
            </a:ext>
          </a:extLst>
        </xdr:cNvPr>
        <xdr:cNvGrpSpPr/>
      </xdr:nvGrpSpPr>
      <xdr:grpSpPr>
        <a:xfrm>
          <a:off x="1447798" y="2125980"/>
          <a:ext cx="1908000" cy="2076233"/>
          <a:chOff x="1402078" y="1684020"/>
          <a:chExt cx="1980002" cy="2076233"/>
        </a:xfrm>
      </xdr:grpSpPr>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1402078" y="1684020"/>
            <a:ext cx="1980000" cy="900000"/>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ysClr val="windowText" lastClr="000000"/>
                </a:solidFill>
              </a:rPr>
              <a:t>Comparative Headlines</a:t>
            </a:r>
            <a:endParaRPr lang="en-GB" sz="1400" b="1" baseline="0">
              <a:solidFill>
                <a:sysClr val="windowText" lastClr="000000"/>
              </a:solidFill>
            </a:endParaRPr>
          </a:p>
          <a:p>
            <a:pPr algn="ctr"/>
            <a:r>
              <a:rPr lang="en-GB" sz="1100" i="1" baseline="0">
                <a:solidFill>
                  <a:schemeClr val="tx1">
                    <a:lumMod val="75000"/>
                    <a:lumOff val="25000"/>
                  </a:schemeClr>
                </a:solidFill>
              </a:rPr>
              <a:t>Compares Performance</a:t>
            </a:r>
          </a:p>
          <a:p>
            <a:pPr algn="ctr"/>
            <a:r>
              <a:rPr lang="en-GB" sz="1100" i="1" baseline="0">
                <a:solidFill>
                  <a:schemeClr val="tx1">
                    <a:lumMod val="75000"/>
                    <a:lumOff val="25000"/>
                  </a:schemeClr>
                </a:solidFill>
              </a:rPr>
              <a:t>between Two Years</a:t>
            </a:r>
          </a:p>
        </xdr:txBody>
      </xdr:sp>
      <mc:AlternateContent xmlns:mc="http://schemas.openxmlformats.org/markup-compatibility/2006" xmlns:a14="http://schemas.microsoft.com/office/drawing/2010/main">
        <mc:Choice Requires="a14">
          <xdr:pic>
            <xdr:nvPicPr>
              <xdr:cNvPr id="33" name="Picture 32">
                <a:extLst>
                  <a:ext uri="{FF2B5EF4-FFF2-40B4-BE49-F238E27FC236}">
                    <a16:creationId xmlns:a16="http://schemas.microsoft.com/office/drawing/2014/main" id="{00000000-0008-0000-0400-000021000000}"/>
                  </a:ext>
                </a:extLst>
              </xdr:cNvPr>
              <xdr:cNvPicPr>
                <a:picLocks noChangeAspect="1" noChangeArrowheads="1"/>
                <a:extLst>
                  <a:ext uri="{84589F7E-364E-4C9E-8A38-B11213B215E9}">
                    <a14:cameraTool cellRange="'COMPARATIVE HEADLINES'!$E$6:$X$36" spid="_x0000_s126790"/>
                  </a:ext>
                </a:extLst>
              </xdr:cNvPicPr>
            </xdr:nvPicPr>
            <xdr:blipFill>
              <a:blip xmlns:r="http://schemas.openxmlformats.org/officeDocument/2006/relationships" r:embed="rId5"/>
              <a:srcRect/>
              <a:stretch>
                <a:fillRect/>
              </a:stretch>
            </xdr:blipFill>
            <xdr:spPr bwMode="auto">
              <a:xfrm>
                <a:off x="1402080"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6</xdr:col>
      <xdr:colOff>434340</xdr:colOff>
      <xdr:row>9</xdr:row>
      <xdr:rowOff>81915</xdr:rowOff>
    </xdr:from>
    <xdr:to>
      <xdr:col>10</xdr:col>
      <xdr:colOff>452580</xdr:colOff>
      <xdr:row>19</xdr:row>
      <xdr:rowOff>100748</xdr:rowOff>
    </xdr:to>
    <xdr:grpSp>
      <xdr:nvGrpSpPr>
        <xdr:cNvPr id="14" name="Group 13">
          <a:hlinkClick xmlns:r="http://schemas.openxmlformats.org/officeDocument/2006/relationships" r:id="rId6" tooltip="Economic Impact - the combined effect of direct expenditure by tourists and the tourism related indirect and induced expenditure from local business"/>
          <a:extLst>
            <a:ext uri="{FF2B5EF4-FFF2-40B4-BE49-F238E27FC236}">
              <a16:creationId xmlns:a16="http://schemas.microsoft.com/office/drawing/2014/main" id="{00000000-0008-0000-0400-00000E000000}"/>
            </a:ext>
          </a:extLst>
        </xdr:cNvPr>
        <xdr:cNvGrpSpPr/>
      </xdr:nvGrpSpPr>
      <xdr:grpSpPr>
        <a:xfrm>
          <a:off x="3467100" y="2116455"/>
          <a:ext cx="2029920" cy="2076233"/>
          <a:chOff x="3421380" y="1684020"/>
          <a:chExt cx="1980002" cy="2076233"/>
        </a:xfrm>
      </xdr:grpSpPr>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3421380" y="1684020"/>
            <a:ext cx="1980000" cy="90000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Economic Impact</a:t>
            </a:r>
            <a:endParaRPr lang="en-GB" sz="1400" b="1" baseline="0">
              <a:solidFill>
                <a:srgbClr val="FFFF00"/>
              </a:solidFill>
            </a:endParaRPr>
          </a:p>
          <a:p>
            <a:pPr algn="ctr"/>
            <a:r>
              <a:rPr lang="en-GB" sz="1100" i="1" baseline="0">
                <a:solidFill>
                  <a:schemeClr val="bg1"/>
                </a:solidFill>
              </a:rPr>
              <a:t>Combined Direct and</a:t>
            </a:r>
          </a:p>
          <a:p>
            <a:pPr algn="ctr"/>
            <a:r>
              <a:rPr lang="en-GB" sz="1100" i="1" baseline="0">
                <a:solidFill>
                  <a:schemeClr val="bg1"/>
                </a:solidFill>
              </a:rPr>
              <a:t>Indirect Expenditure</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0400-000025000000}"/>
                  </a:ext>
                </a:extLst>
              </xdr:cNvPr>
              <xdr:cNvPicPr>
                <a:picLocks noChangeAspect="1" noChangeArrowheads="1"/>
                <a:extLst>
                  <a:ext uri="{84589F7E-364E-4C9E-8A38-B11213B215E9}">
                    <a14:cameraTool cellRange="'ECONOMIC IMPACT'!$E$6:$X$35" spid="_x0000_s126791"/>
                  </a:ext>
                </a:extLst>
              </xdr:cNvPicPr>
            </xdr:nvPicPr>
            <xdr:blipFill>
              <a:blip xmlns:r="http://schemas.openxmlformats.org/officeDocument/2006/relationships" r:embed="rId7"/>
              <a:srcRect/>
              <a:stretch>
                <a:fillRect/>
              </a:stretch>
            </xdr:blipFill>
            <xdr:spPr bwMode="auto">
              <a:xfrm>
                <a:off x="3421382"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15</xdr:col>
      <xdr:colOff>236220</xdr:colOff>
      <xdr:row>9</xdr:row>
      <xdr:rowOff>83820</xdr:rowOff>
    </xdr:from>
    <xdr:to>
      <xdr:col>19</xdr:col>
      <xdr:colOff>254460</xdr:colOff>
      <xdr:row>19</xdr:row>
      <xdr:rowOff>102653</xdr:rowOff>
    </xdr:to>
    <xdr:grpSp>
      <xdr:nvGrpSpPr>
        <xdr:cNvPr id="52" name="Group 51">
          <a:hlinkClick xmlns:r="http://schemas.openxmlformats.org/officeDocument/2006/relationships" r:id="rId8" tooltip="Visitor Days - the number of nights spent by staying visitors and the number of days spent by day visitors to the area"/>
          <a:extLst>
            <a:ext uri="{FF2B5EF4-FFF2-40B4-BE49-F238E27FC236}">
              <a16:creationId xmlns:a16="http://schemas.microsoft.com/office/drawing/2014/main" id="{00000000-0008-0000-0400-000034000000}"/>
            </a:ext>
          </a:extLst>
        </xdr:cNvPr>
        <xdr:cNvGrpSpPr/>
      </xdr:nvGrpSpPr>
      <xdr:grpSpPr>
        <a:xfrm>
          <a:off x="7795260" y="2118360"/>
          <a:ext cx="2029920" cy="2076233"/>
          <a:chOff x="7475220" y="1676400"/>
          <a:chExt cx="1980002" cy="2076233"/>
        </a:xfrm>
      </xdr:grpSpPr>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7475220" y="1676400"/>
            <a:ext cx="1980000" cy="900000"/>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Visitor</a:t>
            </a:r>
            <a:r>
              <a:rPr lang="en-GB" sz="1400" b="1" baseline="0">
                <a:solidFill>
                  <a:srgbClr val="FFFF00"/>
                </a:solidFill>
              </a:rPr>
              <a:t> Days</a:t>
            </a:r>
          </a:p>
          <a:p>
            <a:pPr algn="ctr"/>
            <a:r>
              <a:rPr lang="en-GB" sz="1100" i="1" baseline="0">
                <a:solidFill>
                  <a:schemeClr val="bg1"/>
                </a:solidFill>
              </a:rPr>
              <a:t>The Number of Days / Nights Spent by Visitors to the Area</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47" name="Picture 46">
                <a:extLst>
                  <a:ext uri="{FF2B5EF4-FFF2-40B4-BE49-F238E27FC236}">
                    <a16:creationId xmlns:a16="http://schemas.microsoft.com/office/drawing/2014/main" id="{00000000-0008-0000-0400-00002F000000}"/>
                  </a:ext>
                </a:extLst>
              </xdr:cNvPr>
              <xdr:cNvPicPr>
                <a:picLocks noChangeAspect="1" noChangeArrowheads="1"/>
                <a:extLst>
                  <a:ext uri="{84589F7E-364E-4C9E-8A38-B11213B215E9}">
                    <a14:cameraTool cellRange="'VISITOR DAYS'!$E$6:$X$35" spid="_x0000_s126792"/>
                  </a:ext>
                </a:extLst>
              </xdr:cNvPicPr>
            </xdr:nvPicPr>
            <xdr:blipFill>
              <a:blip xmlns:r="http://schemas.openxmlformats.org/officeDocument/2006/relationships" r:embed="rId9"/>
              <a:srcRect/>
              <a:stretch>
                <a:fillRect/>
              </a:stretch>
            </xdr:blipFill>
            <xdr:spPr bwMode="auto">
              <a:xfrm>
                <a:off x="7475222" y="247650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11</xdr:col>
      <xdr:colOff>99060</xdr:colOff>
      <xdr:row>9</xdr:row>
      <xdr:rowOff>91439</xdr:rowOff>
    </xdr:from>
    <xdr:to>
      <xdr:col>15</xdr:col>
      <xdr:colOff>117300</xdr:colOff>
      <xdr:row>19</xdr:row>
      <xdr:rowOff>110271</xdr:rowOff>
    </xdr:to>
    <xdr:grpSp>
      <xdr:nvGrpSpPr>
        <xdr:cNvPr id="34" name="Group 33">
          <a:hlinkClick xmlns:r="http://schemas.openxmlformats.org/officeDocument/2006/relationships" r:id="rId10" tooltip="Visitor Numbers - the number of tourism trips or visits made by individuals to the area"/>
          <a:extLst>
            <a:ext uri="{FF2B5EF4-FFF2-40B4-BE49-F238E27FC236}">
              <a16:creationId xmlns:a16="http://schemas.microsoft.com/office/drawing/2014/main" id="{00000000-0008-0000-0400-000022000000}"/>
            </a:ext>
          </a:extLst>
        </xdr:cNvPr>
        <xdr:cNvGrpSpPr/>
      </xdr:nvGrpSpPr>
      <xdr:grpSpPr>
        <a:xfrm>
          <a:off x="5646420" y="2125979"/>
          <a:ext cx="2029920" cy="2076232"/>
          <a:chOff x="5448300" y="1684020"/>
          <a:chExt cx="1980002" cy="2076233"/>
        </a:xfrm>
      </xdr:grpSpPr>
      <xdr:sp macro="" textlink="">
        <xdr:nvSpPr>
          <xdr:cNvPr id="48" name="TextBox 47">
            <a:extLst>
              <a:ext uri="{FF2B5EF4-FFF2-40B4-BE49-F238E27FC236}">
                <a16:creationId xmlns:a16="http://schemas.microsoft.com/office/drawing/2014/main" id="{00000000-0008-0000-0400-000030000000}"/>
              </a:ext>
            </a:extLst>
          </xdr:cNvPr>
          <xdr:cNvSpPr txBox="1"/>
        </xdr:nvSpPr>
        <xdr:spPr>
          <a:xfrm>
            <a:off x="5448300" y="1684020"/>
            <a:ext cx="1980000" cy="900000"/>
          </a:xfrm>
          <a:prstGeom prst="rect">
            <a:avLst/>
          </a:prstGeom>
          <a:solidFill>
            <a:srgbClr val="00B05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Visitor</a:t>
            </a:r>
            <a:r>
              <a:rPr lang="en-GB" sz="1400" b="1" baseline="0">
                <a:solidFill>
                  <a:srgbClr val="FFFF00"/>
                </a:solidFill>
              </a:rPr>
              <a:t> Numbers</a:t>
            </a:r>
          </a:p>
          <a:p>
            <a:pPr algn="ctr"/>
            <a:r>
              <a:rPr lang="en-GB" sz="1100" i="1" baseline="0">
                <a:solidFill>
                  <a:schemeClr val="bg1"/>
                </a:solidFill>
              </a:rPr>
              <a:t>The Number of Tourism Visits</a:t>
            </a:r>
          </a:p>
          <a:p>
            <a:pPr algn="ctr"/>
            <a:r>
              <a:rPr lang="en-GB" sz="1100" i="1" baseline="0">
                <a:solidFill>
                  <a:schemeClr val="bg1"/>
                </a:solidFill>
              </a:rPr>
              <a:t>to the Area</a:t>
            </a:r>
            <a:endParaRPr lang="en-GB" sz="1100">
              <a:solidFill>
                <a:srgbClr val="FFFF00"/>
              </a:solidFill>
              <a:effectLst/>
            </a:endParaRPr>
          </a:p>
          <a:p>
            <a:pPr algn="ctr"/>
            <a:endParaRPr lang="en-GB" sz="900" i="1">
              <a:solidFill>
                <a:schemeClr val="bg1"/>
              </a:solidFill>
            </a:endParaRPr>
          </a:p>
        </xdr:txBody>
      </xdr:sp>
      <mc:AlternateContent xmlns:mc="http://schemas.openxmlformats.org/markup-compatibility/2006" xmlns:a14="http://schemas.microsoft.com/office/drawing/2010/main">
        <mc:Choice Requires="a14">
          <xdr:pic>
            <xdr:nvPicPr>
              <xdr:cNvPr id="49" name="Picture 48">
                <a:extLst>
                  <a:ext uri="{FF2B5EF4-FFF2-40B4-BE49-F238E27FC236}">
                    <a16:creationId xmlns:a16="http://schemas.microsoft.com/office/drawing/2014/main" id="{00000000-0008-0000-0400-000031000000}"/>
                  </a:ext>
                </a:extLst>
              </xdr:cNvPr>
              <xdr:cNvPicPr>
                <a:picLocks noChangeAspect="1" noChangeArrowheads="1"/>
                <a:extLst>
                  <a:ext uri="{84589F7E-364E-4C9E-8A38-B11213B215E9}">
                    <a14:cameraTool cellRange="'VISITOR NUMBERS'!$E$6:$X$35" spid="_x0000_s126793"/>
                  </a:ext>
                </a:extLst>
              </xdr:cNvPicPr>
            </xdr:nvPicPr>
            <xdr:blipFill>
              <a:blip xmlns:r="http://schemas.openxmlformats.org/officeDocument/2006/relationships" r:embed="rId11"/>
              <a:srcRect/>
              <a:stretch>
                <a:fillRect/>
              </a:stretch>
            </xdr:blipFill>
            <xdr:spPr bwMode="auto">
              <a:xfrm>
                <a:off x="5448302"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19</xdr:col>
      <xdr:colOff>365758</xdr:colOff>
      <xdr:row>9</xdr:row>
      <xdr:rowOff>83820</xdr:rowOff>
    </xdr:from>
    <xdr:to>
      <xdr:col>23</xdr:col>
      <xdr:colOff>391618</xdr:colOff>
      <xdr:row>19</xdr:row>
      <xdr:rowOff>102653</xdr:rowOff>
    </xdr:to>
    <xdr:grpSp>
      <xdr:nvGrpSpPr>
        <xdr:cNvPr id="53" name="Group 52">
          <a:hlinkClick xmlns:r="http://schemas.openxmlformats.org/officeDocument/2006/relationships" r:id="rId12" tooltip="Employment - Full Time Equivalent jobs supported by tourism activity both 'direct employment' in businesses supplying goods and services to visitors and 'indirect' through the local supply chain"/>
          <a:extLst>
            <a:ext uri="{FF2B5EF4-FFF2-40B4-BE49-F238E27FC236}">
              <a16:creationId xmlns:a16="http://schemas.microsoft.com/office/drawing/2014/main" id="{00000000-0008-0000-0400-000035000000}"/>
            </a:ext>
          </a:extLst>
        </xdr:cNvPr>
        <xdr:cNvGrpSpPr/>
      </xdr:nvGrpSpPr>
      <xdr:grpSpPr>
        <a:xfrm>
          <a:off x="9936478" y="2118360"/>
          <a:ext cx="2037540" cy="2076233"/>
          <a:chOff x="9494232" y="1676400"/>
          <a:chExt cx="1987910" cy="2076233"/>
        </a:xfrm>
      </xdr:grpSpPr>
      <xdr:sp macro="" textlink="">
        <xdr:nvSpPr>
          <xdr:cNvPr id="50" name="TextBox 49">
            <a:extLst>
              <a:ext uri="{FF2B5EF4-FFF2-40B4-BE49-F238E27FC236}">
                <a16:creationId xmlns:a16="http://schemas.microsoft.com/office/drawing/2014/main" id="{00000000-0008-0000-0400-000032000000}"/>
              </a:ext>
            </a:extLst>
          </xdr:cNvPr>
          <xdr:cNvSpPr txBox="1"/>
        </xdr:nvSpPr>
        <xdr:spPr>
          <a:xfrm>
            <a:off x="9494232" y="1676400"/>
            <a:ext cx="1980000" cy="900000"/>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ysClr val="windowText" lastClr="000000"/>
                </a:solidFill>
              </a:rPr>
              <a:t>Employment Supported</a:t>
            </a:r>
            <a:endParaRPr lang="en-GB" sz="1400" b="1" baseline="0">
              <a:solidFill>
                <a:sysClr val="windowText" lastClr="000000"/>
              </a:solidFill>
            </a:endParaRPr>
          </a:p>
          <a:p>
            <a:pPr algn="ctr"/>
            <a:r>
              <a:rPr lang="en-GB" sz="1100" i="1" baseline="0">
                <a:solidFill>
                  <a:schemeClr val="tx1">
                    <a:lumMod val="65000"/>
                    <a:lumOff val="35000"/>
                  </a:schemeClr>
                </a:solidFill>
              </a:rPr>
              <a:t>The Number of Employees (FTEs) Supported Directly and Indirectly by Tourism</a:t>
            </a:r>
          </a:p>
        </xdr:txBody>
      </xdr:sp>
      <mc:AlternateContent xmlns:mc="http://schemas.openxmlformats.org/markup-compatibility/2006" xmlns:a14="http://schemas.microsoft.com/office/drawing/2010/main">
        <mc:Choice Requires="a14">
          <xdr:pic>
            <xdr:nvPicPr>
              <xdr:cNvPr id="51" name="Picture 50">
                <a:extLst>
                  <a:ext uri="{FF2B5EF4-FFF2-40B4-BE49-F238E27FC236}">
                    <a16:creationId xmlns:a16="http://schemas.microsoft.com/office/drawing/2014/main" id="{00000000-0008-0000-0400-000033000000}"/>
                  </a:ext>
                </a:extLst>
              </xdr:cNvPr>
              <xdr:cNvPicPr>
                <a:picLocks noChangeAspect="1" noChangeArrowheads="1"/>
                <a:extLst>
                  <a:ext uri="{84589F7E-364E-4C9E-8A38-B11213B215E9}">
                    <a14:cameraTool cellRange="EMPLOYMENT!$E$6:$X$35" spid="_x0000_s126794"/>
                  </a:ext>
                </a:extLst>
              </xdr:cNvPicPr>
            </xdr:nvPicPr>
            <xdr:blipFill>
              <a:blip xmlns:r="http://schemas.openxmlformats.org/officeDocument/2006/relationships" r:embed="rId13"/>
              <a:srcRect/>
              <a:stretch>
                <a:fillRect/>
              </a:stretch>
            </xdr:blipFill>
            <xdr:spPr bwMode="auto">
              <a:xfrm>
                <a:off x="9502142" y="247650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7</xdr:col>
      <xdr:colOff>243840</xdr:colOff>
      <xdr:row>1</xdr:row>
      <xdr:rowOff>129540</xdr:rowOff>
    </xdr:from>
    <xdr:to>
      <xdr:col>22</xdr:col>
      <xdr:colOff>190500</xdr:colOff>
      <xdr:row>2</xdr:row>
      <xdr:rowOff>228600</xdr:rowOff>
    </xdr:to>
    <xdr:sp macro="" textlink="">
      <xdr:nvSpPr>
        <xdr:cNvPr id="58" name="Rectangle 57">
          <a:extLst>
            <a:ext uri="{FF2B5EF4-FFF2-40B4-BE49-F238E27FC236}">
              <a16:creationId xmlns:a16="http://schemas.microsoft.com/office/drawing/2014/main" id="{00000000-0008-0000-0400-00003A000000}"/>
            </a:ext>
          </a:extLst>
        </xdr:cNvPr>
        <xdr:cNvSpPr/>
      </xdr:nvSpPr>
      <xdr:spPr>
        <a:xfrm>
          <a:off x="3749040" y="1295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will bring you back to this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240030</xdr:colOff>
      <xdr:row>2</xdr:row>
      <xdr:rowOff>49530</xdr:rowOff>
    </xdr:from>
    <xdr:to>
      <xdr:col>23</xdr:col>
      <xdr:colOff>198120</xdr:colOff>
      <xdr:row>2</xdr:row>
      <xdr:rowOff>320040</xdr:rowOff>
    </xdr:to>
    <xdr:sp macro="" textlink="">
      <xdr:nvSpPr>
        <xdr:cNvPr id="54" name="Bent Arrow 53">
          <a:extLst>
            <a:ext uri="{FF2B5EF4-FFF2-40B4-BE49-F238E27FC236}">
              <a16:creationId xmlns:a16="http://schemas.microsoft.com/office/drawing/2014/main" id="{00000000-0008-0000-0400-000036000000}"/>
            </a:ext>
          </a:extLst>
        </xdr:cNvPr>
        <xdr:cNvSpPr/>
      </xdr:nvSpPr>
      <xdr:spPr>
        <a:xfrm rot="5400000">
          <a:off x="10911840" y="1752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91438</xdr:colOff>
      <xdr:row>21</xdr:row>
      <xdr:rowOff>91440</xdr:rowOff>
    </xdr:from>
    <xdr:to>
      <xdr:col>6</xdr:col>
      <xdr:colOff>307798</xdr:colOff>
      <xdr:row>31</xdr:row>
      <xdr:rowOff>110273</xdr:rowOff>
    </xdr:to>
    <xdr:grpSp>
      <xdr:nvGrpSpPr>
        <xdr:cNvPr id="7" name="Group 6">
          <a:hlinkClick xmlns:r="http://schemas.openxmlformats.org/officeDocument/2006/relationships" r:id="rId14" tooltip="Key Measures - Economic Impact, Tourist Numbers, Tourist Days and Employment for the Trend Period"/>
          <a:extLst>
            <a:ext uri="{FF2B5EF4-FFF2-40B4-BE49-F238E27FC236}">
              <a16:creationId xmlns:a16="http://schemas.microsoft.com/office/drawing/2014/main" id="{00000000-0008-0000-0400-000007000000}"/>
            </a:ext>
          </a:extLst>
        </xdr:cNvPr>
        <xdr:cNvGrpSpPr/>
      </xdr:nvGrpSpPr>
      <xdr:grpSpPr>
        <a:xfrm>
          <a:off x="1432558" y="4594860"/>
          <a:ext cx="1908000" cy="2076233"/>
          <a:chOff x="1432558" y="4594860"/>
          <a:chExt cx="1908000" cy="2076233"/>
        </a:xfrm>
      </xdr:grpSpPr>
      <xdr:sp macro="" textlink="">
        <xdr:nvSpPr>
          <xdr:cNvPr id="61" name="TextBox 60">
            <a:extLst>
              <a:ext uri="{FF2B5EF4-FFF2-40B4-BE49-F238E27FC236}">
                <a16:creationId xmlns:a16="http://schemas.microsoft.com/office/drawing/2014/main" id="{00000000-0008-0000-0400-00003D000000}"/>
              </a:ext>
            </a:extLst>
          </xdr:cNvPr>
          <xdr:cNvSpPr txBox="1"/>
        </xdr:nvSpPr>
        <xdr:spPr>
          <a:xfrm>
            <a:off x="1432558" y="4594860"/>
            <a:ext cx="1907998" cy="900000"/>
          </a:xfrm>
          <a:prstGeom prst="rect">
            <a:avLst/>
          </a:prstGeom>
          <a:solidFill>
            <a:schemeClr val="accent4"/>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Key Measures</a:t>
            </a:r>
            <a:endParaRPr lang="en-GB" sz="1400" b="1" baseline="0">
              <a:solidFill>
                <a:srgbClr val="FFFF00"/>
              </a:solidFill>
            </a:endParaRPr>
          </a:p>
          <a:p>
            <a:pPr algn="ctr"/>
            <a:r>
              <a:rPr lang="en-GB" sz="1100" i="1" baseline="0">
                <a:solidFill>
                  <a:schemeClr val="bg1"/>
                </a:solidFill>
              </a:rPr>
              <a:t>The Four Key STEAM Impact Measures for the Trend Period</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62" name="Picture 61">
                <a:extLst>
                  <a:ext uri="{FF2B5EF4-FFF2-40B4-BE49-F238E27FC236}">
                    <a16:creationId xmlns:a16="http://schemas.microsoft.com/office/drawing/2014/main" id="{00000000-0008-0000-0400-00003E000000}"/>
                  </a:ext>
                </a:extLst>
              </xdr:cNvPr>
              <xdr:cNvPicPr>
                <a:picLocks noChangeAspect="1" noChangeArrowheads="1"/>
                <a:extLst>
                  <a:ext uri="{84589F7E-364E-4C9E-8A38-B11213B215E9}">
                    <a14:cameraTool cellRange="'KEY MEASURES'!$E$6:$X$38" spid="_x0000_s126795"/>
                  </a:ext>
                </a:extLst>
              </xdr:cNvPicPr>
            </xdr:nvPicPr>
            <xdr:blipFill>
              <a:blip xmlns:r="http://schemas.openxmlformats.org/officeDocument/2006/relationships" r:embed="rId15"/>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22</xdr:col>
      <xdr:colOff>190500</xdr:colOff>
      <xdr:row>5</xdr:row>
      <xdr:rowOff>68581</xdr:rowOff>
    </xdr:from>
    <xdr:to>
      <xdr:col>23</xdr:col>
      <xdr:colOff>194012</xdr:colOff>
      <xdr:row>6</xdr:row>
      <xdr:rowOff>160021</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782300" y="1280161"/>
          <a:ext cx="475952" cy="297180"/>
        </a:xfrm>
        <a:prstGeom prst="rect">
          <a:avLst/>
        </a:prstGeom>
        <a:noFill/>
      </xdr:spPr>
    </xdr:pic>
    <xdr:clientData/>
  </xdr:twoCellAnchor>
  <xdr:twoCellAnchor>
    <xdr:from>
      <xdr:col>7</xdr:col>
      <xdr:colOff>411480</xdr:colOff>
      <xdr:row>3</xdr:row>
      <xdr:rowOff>304800</xdr:rowOff>
    </xdr:from>
    <xdr:to>
      <xdr:col>9</xdr:col>
      <xdr:colOff>419100</xdr:colOff>
      <xdr:row>4</xdr:row>
      <xdr:rowOff>329520</xdr:rowOff>
    </xdr:to>
    <xdr:sp macro="" textlink="">
      <xdr:nvSpPr>
        <xdr:cNvPr id="66" name="Rectangle 65">
          <a:extLst>
            <a:ext uri="{FF2B5EF4-FFF2-40B4-BE49-F238E27FC236}">
              <a16:creationId xmlns:a16="http://schemas.microsoft.com/office/drawing/2014/main" id="{00000000-0008-0000-0400-000042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26009" name="Drop Down 57" hidden="1">
              <a:extLst>
                <a:ext uri="{63B3BB69-23CF-44E3-9099-C40C66FF867C}">
                  <a14:compatExt spid="_x0000_s126009"/>
                </a:ext>
                <a:ext uri="{FF2B5EF4-FFF2-40B4-BE49-F238E27FC236}">
                  <a16:creationId xmlns:a16="http://schemas.microsoft.com/office/drawing/2014/main" id="{00000000-0008-0000-0400-000039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83820</xdr:colOff>
      <xdr:row>33</xdr:row>
      <xdr:rowOff>60960</xdr:rowOff>
    </xdr:from>
    <xdr:to>
      <xdr:col>6</xdr:col>
      <xdr:colOff>300178</xdr:colOff>
      <xdr:row>35</xdr:row>
      <xdr:rowOff>129540</xdr:rowOff>
    </xdr:to>
    <xdr:grpSp>
      <xdr:nvGrpSpPr>
        <xdr:cNvPr id="15" name="Group 14">
          <a:extLst>
            <a:ext uri="{FF2B5EF4-FFF2-40B4-BE49-F238E27FC236}">
              <a16:creationId xmlns:a16="http://schemas.microsoft.com/office/drawing/2014/main" id="{00000000-0008-0000-0400-00000F000000}"/>
            </a:ext>
          </a:extLst>
        </xdr:cNvPr>
        <xdr:cNvGrpSpPr/>
      </xdr:nvGrpSpPr>
      <xdr:grpSpPr>
        <a:xfrm>
          <a:off x="1424940" y="7033260"/>
          <a:ext cx="1907998" cy="480060"/>
          <a:chOff x="1424940" y="7033260"/>
          <a:chExt cx="1907998" cy="480060"/>
        </a:xfrm>
      </xdr:grpSpPr>
      <xdr:sp macro="" textlink="">
        <xdr:nvSpPr>
          <xdr:cNvPr id="73" name="TextBox 72">
            <a:hlinkClick xmlns:r="http://schemas.openxmlformats.org/officeDocument/2006/relationships" r:id="rId17" tooltip="User Guide - Basic Information about this Report and Its Operation"/>
            <a:extLst>
              <a:ext uri="{FF2B5EF4-FFF2-40B4-BE49-F238E27FC236}">
                <a16:creationId xmlns:a16="http://schemas.microsoft.com/office/drawing/2014/main" id="{00000000-0008-0000-0400-000049000000}"/>
              </a:ext>
            </a:extLst>
          </xdr:cNvPr>
          <xdr:cNvSpPr txBox="1"/>
        </xdr:nvSpPr>
        <xdr:spPr>
          <a:xfrm>
            <a:off x="1424940" y="7033260"/>
            <a:ext cx="1907998" cy="480060"/>
          </a:xfrm>
          <a:prstGeom prst="rect">
            <a:avLst/>
          </a:prstGeom>
          <a:solidFill>
            <a:srgbClr val="00B0F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0" tIns="36000" rIns="0" bIns="0" rtlCol="0" anchor="t" anchorCtr="0"/>
          <a:lstStyle/>
          <a:p>
            <a:pPr algn="ctr"/>
            <a:r>
              <a:rPr lang="en-GB" sz="900" b="1">
                <a:solidFill>
                  <a:srgbClr val="FFFF00"/>
                </a:solidFill>
              </a:rPr>
              <a:t>User Guide</a:t>
            </a:r>
          </a:p>
          <a:p>
            <a:pPr algn="ctr"/>
            <a:r>
              <a:rPr lang="en-GB" sz="900" b="0" i="1">
                <a:solidFill>
                  <a:schemeClr val="bg1"/>
                </a:solidFill>
              </a:rPr>
              <a:t>Making</a:t>
            </a:r>
            <a:r>
              <a:rPr lang="en-GB" sz="900" b="0" i="1" baseline="0">
                <a:solidFill>
                  <a:schemeClr val="bg1"/>
                </a:solidFill>
              </a:rPr>
              <a:t> the Most of your</a:t>
            </a:r>
          </a:p>
          <a:p>
            <a:pPr algn="ctr"/>
            <a:r>
              <a:rPr lang="en-GB" sz="900" b="0" i="1" baseline="0">
                <a:solidFill>
                  <a:schemeClr val="bg1"/>
                </a:solidFill>
              </a:rPr>
              <a:t>STEAM Report</a:t>
            </a:r>
            <a:endParaRPr lang="en-GB" sz="900" b="0" i="1">
              <a:solidFill>
                <a:schemeClr val="bg1"/>
              </a:solidFill>
            </a:endParaRPr>
          </a:p>
        </xdr:txBody>
      </xdr:sp>
      <xdr:pic>
        <xdr:nvPicPr>
          <xdr:cNvPr id="75" name="Picture 12">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463040" y="7078979"/>
            <a:ext cx="388620" cy="392509"/>
          </a:xfrm>
          <a:prstGeom prst="roundRect">
            <a:avLst>
              <a:gd name="adj" fmla="val 8594"/>
            </a:avLst>
          </a:prstGeom>
          <a:solidFill>
            <a:srgbClr val="00B0F0"/>
          </a:solidFill>
          <a:ln>
            <a:noFill/>
          </a:ln>
          <a:effectLst>
            <a:softEdge rad="12700"/>
          </a:effectLst>
        </xdr:spPr>
      </xdr:pic>
    </xdr:grpSp>
    <xdr:clientData/>
  </xdr:twoCellAnchor>
  <xdr:twoCellAnchor>
    <xdr:from>
      <xdr:col>19</xdr:col>
      <xdr:colOff>68580</xdr:colOff>
      <xdr:row>33</xdr:row>
      <xdr:rowOff>60960</xdr:rowOff>
    </xdr:from>
    <xdr:to>
      <xdr:col>23</xdr:col>
      <xdr:colOff>388620</xdr:colOff>
      <xdr:row>35</xdr:row>
      <xdr:rowOff>129540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9639300" y="7033260"/>
          <a:ext cx="2331720" cy="480060"/>
          <a:chOff x="9243060" y="7033260"/>
          <a:chExt cx="2209800" cy="480060"/>
        </a:xfrm>
      </xdr:grpSpPr>
      <xdr:sp macro="" textlink="">
        <xdr:nvSpPr>
          <xdr:cNvPr id="89" name="TextBox 88">
            <a:hlinkClick xmlns:r="http://schemas.openxmlformats.org/officeDocument/2006/relationships" r:id="rId19" tooltip="Data Table"/>
            <a:extLst>
              <a:ext uri="{FF2B5EF4-FFF2-40B4-BE49-F238E27FC236}">
                <a16:creationId xmlns:a16="http://schemas.microsoft.com/office/drawing/2014/main" id="{00000000-0008-0000-0400-000059000000}"/>
              </a:ext>
            </a:extLst>
          </xdr:cNvPr>
          <xdr:cNvSpPr txBox="1"/>
        </xdr:nvSpPr>
        <xdr:spPr>
          <a:xfrm>
            <a:off x="9243060" y="7033260"/>
            <a:ext cx="2209800" cy="48006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88000" tIns="36000" rIns="0" bIns="0" rtlCol="0" anchor="t" anchorCtr="0"/>
          <a:lstStyle/>
          <a:p>
            <a:pPr marL="0" indent="0" algn="ctr"/>
            <a:r>
              <a:rPr lang="en-GB" sz="900" b="1">
                <a:solidFill>
                  <a:sysClr val="windowText" lastClr="000000"/>
                </a:solidFill>
                <a:latin typeface="+mn-lt"/>
                <a:ea typeface="+mn-ea"/>
                <a:cs typeface="+mn-cs"/>
              </a:rPr>
              <a:t>Data</a:t>
            </a:r>
            <a:r>
              <a:rPr lang="en-GB" sz="900" b="1" baseline="0">
                <a:solidFill>
                  <a:sysClr val="windowText" lastClr="000000"/>
                </a:solidFill>
                <a:latin typeface="+mn-lt"/>
                <a:ea typeface="+mn-ea"/>
                <a:cs typeface="+mn-cs"/>
              </a:rPr>
              <a:t> Table</a:t>
            </a:r>
            <a:endParaRPr lang="en-GB" sz="900" b="1">
              <a:solidFill>
                <a:sysClr val="windowText" lastClr="000000"/>
              </a:solidFill>
              <a:latin typeface="+mn-lt"/>
              <a:ea typeface="+mn-ea"/>
              <a:cs typeface="+mn-cs"/>
            </a:endParaRPr>
          </a:p>
          <a:p>
            <a:pPr marL="0" indent="0" algn="ctr"/>
            <a:r>
              <a:rPr lang="en-GB" sz="900" b="0" i="1">
                <a:solidFill>
                  <a:sysClr val="windowText" lastClr="000000"/>
                </a:solidFill>
                <a:latin typeface="+mn-lt"/>
                <a:ea typeface="+mn-ea"/>
                <a:cs typeface="+mn-cs"/>
              </a:rPr>
              <a:t>Monthly Data Supplied</a:t>
            </a:r>
          </a:p>
          <a:p>
            <a:pPr marL="0" indent="0" algn="ctr"/>
            <a:r>
              <a:rPr lang="en-GB" sz="900" b="0" i="1">
                <a:solidFill>
                  <a:sysClr val="windowText" lastClr="000000"/>
                </a:solidFill>
                <a:latin typeface="+mn-lt"/>
                <a:ea typeface="+mn-ea"/>
                <a:cs typeface="+mn-cs"/>
              </a:rPr>
              <a:t>for</a:t>
            </a:r>
            <a:r>
              <a:rPr lang="en-GB" sz="900" b="0" i="1" baseline="0">
                <a:solidFill>
                  <a:sysClr val="windowText" lastClr="000000"/>
                </a:solidFill>
                <a:latin typeface="+mn-lt"/>
                <a:ea typeface="+mn-ea"/>
                <a:cs typeface="+mn-cs"/>
              </a:rPr>
              <a:t> all Measures and Years</a:t>
            </a:r>
            <a:endParaRPr lang="en-GB" sz="900" b="0" i="1">
              <a:solidFill>
                <a:sysClr val="windowText" lastClr="000000"/>
              </a:solidFill>
              <a:latin typeface="+mn-lt"/>
              <a:ea typeface="+mn-ea"/>
              <a:cs typeface="+mn-cs"/>
            </a:endParaRPr>
          </a:p>
        </xdr:txBody>
      </xdr:sp>
      <xdr:pic>
        <xdr:nvPicPr>
          <xdr:cNvPr id="91" name="Picture 10" descr="C:\Users\DC\AppData\Local\Microsoft\Windows\Temporary Internet Files\Content.IE5\UGNFM3Q5\MC900023604[1].wm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9334500" y="7117080"/>
            <a:ext cx="294568" cy="315729"/>
          </a:xfrm>
          <a:prstGeom prst="rect">
            <a:avLst/>
          </a:prstGeom>
          <a:solidFill>
            <a:srgbClr val="FFFF00"/>
          </a:solidFill>
        </xdr:spPr>
      </xdr:pic>
    </xdr:grpSp>
    <xdr:clientData/>
  </xdr:twoCellAnchor>
  <xdr:twoCellAnchor>
    <xdr:from>
      <xdr:col>11</xdr:col>
      <xdr:colOff>68580</xdr:colOff>
      <xdr:row>33</xdr:row>
      <xdr:rowOff>60960</xdr:rowOff>
    </xdr:from>
    <xdr:to>
      <xdr:col>14</xdr:col>
      <xdr:colOff>373380</xdr:colOff>
      <xdr:row>35</xdr:row>
      <xdr:rowOff>129540</xdr:rowOff>
    </xdr:to>
    <xdr:sp macro="" textlink="">
      <xdr:nvSpPr>
        <xdr:cNvPr id="78" name="TextBox 77">
          <a:hlinkClick xmlns:r="http://schemas.openxmlformats.org/officeDocument/2006/relationships" r:id="rId21" tooltip="Cover Sheet - for printing as required"/>
          <a:extLst>
            <a:ext uri="{FF2B5EF4-FFF2-40B4-BE49-F238E27FC236}">
              <a16:creationId xmlns:a16="http://schemas.microsoft.com/office/drawing/2014/main" id="{00000000-0008-0000-0400-00004E000000}"/>
            </a:ext>
          </a:extLst>
        </xdr:cNvPr>
        <xdr:cNvSpPr txBox="1"/>
      </xdr:nvSpPr>
      <xdr:spPr>
        <a:xfrm>
          <a:off x="5297805" y="6861810"/>
          <a:ext cx="1676400" cy="468630"/>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52000" tIns="36000" rIns="0" bIns="0" rtlCol="0" anchor="t" anchorCtr="0"/>
        <a:lstStyle/>
        <a:p>
          <a:pPr algn="ctr"/>
          <a:r>
            <a:rPr lang="en-GB" sz="900" b="1">
              <a:solidFill>
                <a:srgbClr val="FFFF00"/>
              </a:solidFill>
            </a:rPr>
            <a:t>Cover</a:t>
          </a:r>
        </a:p>
        <a:p>
          <a:pPr algn="ctr"/>
          <a:r>
            <a:rPr lang="en-GB" sz="900" b="0" i="1">
              <a:solidFill>
                <a:schemeClr val="bg1"/>
              </a:solidFill>
            </a:rPr>
            <a:t>Your Report</a:t>
          </a:r>
        </a:p>
        <a:p>
          <a:pPr algn="ctr"/>
          <a:r>
            <a:rPr lang="en-GB" sz="900" b="0" i="1">
              <a:solidFill>
                <a:schemeClr val="bg1"/>
              </a:solidFill>
            </a:rPr>
            <a:t>Cover Page</a:t>
          </a:r>
        </a:p>
      </xdr:txBody>
    </xdr:sp>
    <xdr:clientData/>
  </xdr:twoCellAnchor>
  <xdr:twoCellAnchor>
    <xdr:from>
      <xdr:col>15</xdr:col>
      <xdr:colOff>99060</xdr:colOff>
      <xdr:row>33</xdr:row>
      <xdr:rowOff>60960</xdr:rowOff>
    </xdr:from>
    <xdr:to>
      <xdr:col>18</xdr:col>
      <xdr:colOff>403860</xdr:colOff>
      <xdr:row>35</xdr:row>
      <xdr:rowOff>129540</xdr:rowOff>
    </xdr:to>
    <xdr:grpSp>
      <xdr:nvGrpSpPr>
        <xdr:cNvPr id="10" name="Group 9">
          <a:extLst>
            <a:ext uri="{FF2B5EF4-FFF2-40B4-BE49-F238E27FC236}">
              <a16:creationId xmlns:a16="http://schemas.microsoft.com/office/drawing/2014/main" id="{00000000-0008-0000-0400-00000A000000}"/>
            </a:ext>
          </a:extLst>
        </xdr:cNvPr>
        <xdr:cNvGrpSpPr/>
      </xdr:nvGrpSpPr>
      <xdr:grpSpPr>
        <a:xfrm>
          <a:off x="7658100" y="7033260"/>
          <a:ext cx="1813560" cy="480060"/>
          <a:chOff x="7383780" y="7033260"/>
          <a:chExt cx="1722120" cy="480060"/>
        </a:xfrm>
      </xdr:grpSpPr>
      <xdr:sp macro="" textlink="">
        <xdr:nvSpPr>
          <xdr:cNvPr id="79" name="TextBox 78">
            <a:hlinkClick xmlns:r="http://schemas.openxmlformats.org/officeDocument/2006/relationships" r:id="rId22" tooltip="Contents Page"/>
            <a:extLst>
              <a:ext uri="{FF2B5EF4-FFF2-40B4-BE49-F238E27FC236}">
                <a16:creationId xmlns:a16="http://schemas.microsoft.com/office/drawing/2014/main" id="{00000000-0008-0000-0400-00004F000000}"/>
              </a:ext>
            </a:extLst>
          </xdr:cNvPr>
          <xdr:cNvSpPr txBox="1"/>
        </xdr:nvSpPr>
        <xdr:spPr>
          <a:xfrm>
            <a:off x="7383780" y="7033260"/>
            <a:ext cx="1722120" cy="480060"/>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76000" tIns="36000" rIns="0" bIns="0" rtlCol="0" anchor="t" anchorCtr="0"/>
          <a:lstStyle/>
          <a:p>
            <a:pPr marL="0" indent="0" algn="ctr"/>
            <a:r>
              <a:rPr lang="en-GB" sz="900" b="1">
                <a:solidFill>
                  <a:srgbClr val="FFFF00"/>
                </a:solidFill>
                <a:latin typeface="+mn-lt"/>
                <a:ea typeface="+mn-ea"/>
                <a:cs typeface="+mn-cs"/>
              </a:rPr>
              <a:t>Contents</a:t>
            </a:r>
          </a:p>
          <a:p>
            <a:pPr marL="0" indent="0" algn="ctr"/>
            <a:r>
              <a:rPr lang="en-GB" sz="900" b="0" i="1">
                <a:solidFill>
                  <a:schemeClr val="bg1"/>
                </a:solidFill>
                <a:latin typeface="+mn-lt"/>
                <a:ea typeface="+mn-ea"/>
                <a:cs typeface="+mn-cs"/>
              </a:rPr>
              <a:t>Your Report</a:t>
            </a:r>
          </a:p>
          <a:p>
            <a:pPr marL="0" indent="0" algn="ctr"/>
            <a:r>
              <a:rPr lang="en-GB" sz="900" b="0" i="1">
                <a:solidFill>
                  <a:schemeClr val="bg1"/>
                </a:solidFill>
                <a:latin typeface="+mn-lt"/>
                <a:ea typeface="+mn-ea"/>
                <a:cs typeface="+mn-cs"/>
              </a:rPr>
              <a:t>Contents Page</a:t>
            </a:r>
          </a:p>
        </xdr:txBody>
      </xdr:sp>
      <mc:AlternateContent xmlns:mc="http://schemas.openxmlformats.org/markup-compatibility/2006" xmlns:a14="http://schemas.microsoft.com/office/drawing/2010/main">
        <mc:Choice Requires="a14">
          <xdr:pic>
            <xdr:nvPicPr>
              <xdr:cNvPr id="93" name="Picture 92">
                <a:hlinkClick xmlns:r="http://schemas.openxmlformats.org/officeDocument/2006/relationships" r:id="rId23" tooltip="Contents Page"/>
                <a:extLst>
                  <a:ext uri="{FF2B5EF4-FFF2-40B4-BE49-F238E27FC236}">
                    <a16:creationId xmlns:a16="http://schemas.microsoft.com/office/drawing/2014/main" id="{00000000-0008-0000-0400-00005D000000}"/>
                  </a:ext>
                </a:extLst>
              </xdr:cNvPr>
              <xdr:cNvPicPr>
                <a:picLocks noChangeAspect="1" noChangeArrowheads="1"/>
                <a:extLst>
                  <a:ext uri="{84589F7E-364E-4C9E-8A38-B11213B215E9}">
                    <a14:cameraTool cellRange="CONTENTS!$E$6:$X$38" spid="_x0000_s126796"/>
                  </a:ext>
                </a:extLst>
              </xdr:cNvPicPr>
            </xdr:nvPicPr>
            <xdr:blipFill>
              <a:blip xmlns:r="http://schemas.openxmlformats.org/officeDocument/2006/relationships" r:embed="rId24"/>
              <a:srcRect/>
              <a:stretch>
                <a:fillRect/>
              </a:stretch>
            </xdr:blipFill>
            <xdr:spPr bwMode="auto">
              <a:xfrm>
                <a:off x="7461138" y="7109460"/>
                <a:ext cx="501762" cy="335280"/>
              </a:xfrm>
              <a:prstGeom prst="rect">
                <a:avLst/>
              </a:prstGeom>
              <a:noFill/>
              <a:ln w="9525">
                <a:noFill/>
                <a:miter lim="800000"/>
                <a:headEnd/>
                <a:tailEnd/>
              </a:ln>
            </xdr:spPr>
          </xdr:pic>
        </mc:Choice>
        <mc:Fallback xmlns=""/>
      </mc:AlternateContent>
    </xdr:grpSp>
    <xdr:clientData/>
  </xdr:twoCellAnchor>
  <xdr:twoCellAnchor>
    <xdr:from>
      <xdr:col>6</xdr:col>
      <xdr:colOff>403860</xdr:colOff>
      <xdr:row>33</xdr:row>
      <xdr:rowOff>60960</xdr:rowOff>
    </xdr:from>
    <xdr:to>
      <xdr:col>10</xdr:col>
      <xdr:colOff>422098</xdr:colOff>
      <xdr:row>35</xdr:row>
      <xdr:rowOff>129540</xdr:rowOff>
    </xdr:to>
    <xdr:grpSp>
      <xdr:nvGrpSpPr>
        <xdr:cNvPr id="13" name="Group 12">
          <a:extLst>
            <a:ext uri="{FF2B5EF4-FFF2-40B4-BE49-F238E27FC236}">
              <a16:creationId xmlns:a16="http://schemas.microsoft.com/office/drawing/2014/main" id="{00000000-0008-0000-0400-00000D000000}"/>
            </a:ext>
          </a:extLst>
        </xdr:cNvPr>
        <xdr:cNvGrpSpPr/>
      </xdr:nvGrpSpPr>
      <xdr:grpSpPr>
        <a:xfrm>
          <a:off x="3436620" y="7033260"/>
          <a:ext cx="2029918" cy="480060"/>
          <a:chOff x="3436620" y="7033260"/>
          <a:chExt cx="1907998" cy="480060"/>
        </a:xfrm>
      </xdr:grpSpPr>
      <xdr:sp macro="" textlink="">
        <xdr:nvSpPr>
          <xdr:cNvPr id="77" name="TextBox 76">
            <a:extLst>
              <a:ext uri="{FF2B5EF4-FFF2-40B4-BE49-F238E27FC236}">
                <a16:creationId xmlns:a16="http://schemas.microsoft.com/office/drawing/2014/main" id="{00000000-0008-0000-0400-00004D000000}"/>
              </a:ext>
            </a:extLst>
          </xdr:cNvPr>
          <xdr:cNvSpPr txBox="1"/>
        </xdr:nvSpPr>
        <xdr:spPr>
          <a:xfrm>
            <a:off x="3436620" y="7033260"/>
            <a:ext cx="1907998" cy="480060"/>
          </a:xfrm>
          <a:prstGeom prst="rect">
            <a:avLst/>
          </a:prstGeom>
          <a:solidFill>
            <a:schemeClr val="tx2">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32000" tIns="36000" rIns="0" bIns="0" rtlCol="0" anchor="t" anchorCtr="0"/>
          <a:lstStyle/>
          <a:p>
            <a:pPr algn="ctr"/>
            <a:r>
              <a:rPr lang="en-GB" sz="900" b="1">
                <a:solidFill>
                  <a:srgbClr val="FFFF00"/>
                </a:solidFill>
              </a:rPr>
              <a:t>STEAM Overview</a:t>
            </a:r>
          </a:p>
          <a:p>
            <a:pPr algn="ctr"/>
            <a:r>
              <a:rPr lang="en-GB" sz="900" b="0" i="1">
                <a:solidFill>
                  <a:schemeClr val="bg1"/>
                </a:solidFill>
              </a:rPr>
              <a:t>About STEAM</a:t>
            </a:r>
            <a:r>
              <a:rPr lang="en-GB" sz="900" b="0" i="1" baseline="0">
                <a:solidFill>
                  <a:schemeClr val="bg1"/>
                </a:solidFill>
              </a:rPr>
              <a:t> and</a:t>
            </a:r>
          </a:p>
          <a:p>
            <a:pPr algn="ctr"/>
            <a:r>
              <a:rPr lang="en-GB" sz="900" b="0" i="1" baseline="0">
                <a:solidFill>
                  <a:schemeClr val="bg1"/>
                </a:solidFill>
              </a:rPr>
              <a:t>the STEAM Process</a:t>
            </a:r>
            <a:endParaRPr lang="en-GB" sz="900" b="0" i="1">
              <a:solidFill>
                <a:schemeClr val="bg1"/>
              </a:solidFill>
            </a:endParaRPr>
          </a:p>
        </xdr:txBody>
      </xdr:sp>
      <xdr:pic>
        <xdr:nvPicPr>
          <xdr:cNvPr id="56" name="Picture 12">
            <a:extLst>
              <a:ext uri="{FF2B5EF4-FFF2-40B4-BE49-F238E27FC236}">
                <a16:creationId xmlns:a16="http://schemas.microsoft.com/office/drawing/2014/main" id="{00000000-0008-0000-0400-000038000000}"/>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10654" r="10654"/>
          <a:stretch/>
        </xdr:blipFill>
        <xdr:spPr bwMode="auto">
          <a:xfrm>
            <a:off x="3512820" y="7124700"/>
            <a:ext cx="368281" cy="321315"/>
          </a:xfrm>
          <a:prstGeom prst="roundRect">
            <a:avLst>
              <a:gd name="adj" fmla="val 0"/>
            </a:avLst>
          </a:prstGeom>
          <a:solidFill>
            <a:schemeClr val="bg1"/>
          </a:solidFill>
          <a:ln>
            <a:noFill/>
          </a:ln>
          <a:effectLst>
            <a:softEdge rad="12700"/>
          </a:effectLst>
        </xdr:spPr>
      </xdr:pic>
    </xdr:grpSp>
    <xdr:clientData/>
  </xdr:twoCellAnchor>
  <xdr:twoCellAnchor>
    <xdr:from>
      <xdr:col>6</xdr:col>
      <xdr:colOff>377190</xdr:colOff>
      <xdr:row>21</xdr:row>
      <xdr:rowOff>91440</xdr:rowOff>
    </xdr:from>
    <xdr:to>
      <xdr:col>10</xdr:col>
      <xdr:colOff>395430</xdr:colOff>
      <xdr:row>31</xdr:row>
      <xdr:rowOff>110273</xdr:rowOff>
    </xdr:to>
    <xdr:grpSp>
      <xdr:nvGrpSpPr>
        <xdr:cNvPr id="76" name="Group 75">
          <a:hlinkClick xmlns:r="http://schemas.openxmlformats.org/officeDocument/2006/relationships" r:id="rId26" tooltip="Sectoral Analysis - how employment and expenditure is distributed locally"/>
          <a:extLst>
            <a:ext uri="{FF2B5EF4-FFF2-40B4-BE49-F238E27FC236}">
              <a16:creationId xmlns:a16="http://schemas.microsoft.com/office/drawing/2014/main" id="{00000000-0008-0000-0400-00004C000000}"/>
            </a:ext>
          </a:extLst>
        </xdr:cNvPr>
        <xdr:cNvGrpSpPr/>
      </xdr:nvGrpSpPr>
      <xdr:grpSpPr>
        <a:xfrm>
          <a:off x="3409950" y="4594860"/>
          <a:ext cx="2029920" cy="2076233"/>
          <a:chOff x="1432558" y="4594860"/>
          <a:chExt cx="1908000" cy="2076233"/>
        </a:xfrm>
      </xdr:grpSpPr>
      <xdr:sp macro="" textlink="">
        <xdr:nvSpPr>
          <xdr:cNvPr id="80" name="TextBox 79">
            <a:hlinkClick xmlns:r="http://schemas.openxmlformats.org/officeDocument/2006/relationships" r:id="rId26" tooltip="Sectoral Analysis - How Economic Impacts and Employment are Distributed Across Sectors of the Economy"/>
            <a:extLst>
              <a:ext uri="{FF2B5EF4-FFF2-40B4-BE49-F238E27FC236}">
                <a16:creationId xmlns:a16="http://schemas.microsoft.com/office/drawing/2014/main" id="{00000000-0008-0000-0400-000050000000}"/>
              </a:ext>
            </a:extLst>
          </xdr:cNvPr>
          <xdr:cNvSpPr txBox="1"/>
        </xdr:nvSpPr>
        <xdr:spPr>
          <a:xfrm>
            <a:off x="1432558" y="4594860"/>
            <a:ext cx="1907998" cy="90000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Sectoral</a:t>
            </a:r>
            <a:r>
              <a:rPr lang="en-GB" sz="1400" b="1" baseline="0">
                <a:solidFill>
                  <a:srgbClr val="FFFF00"/>
                </a:solidFill>
              </a:rPr>
              <a:t> Analysis</a:t>
            </a:r>
          </a:p>
          <a:p>
            <a:pPr algn="ctr"/>
            <a:r>
              <a:rPr lang="en-GB" sz="1100" i="1" baseline="0">
                <a:solidFill>
                  <a:schemeClr val="bg1"/>
                </a:solidFill>
              </a:rPr>
              <a:t>Sectoral Distribution of Visitor Expenditure and Employment</a:t>
            </a:r>
          </a:p>
        </xdr:txBody>
      </xdr:sp>
      <mc:AlternateContent xmlns:mc="http://schemas.openxmlformats.org/markup-compatibility/2006" xmlns:a14="http://schemas.microsoft.com/office/drawing/2010/main">
        <mc:Choice Requires="a14">
          <xdr:pic>
            <xdr:nvPicPr>
              <xdr:cNvPr id="81" name="Picture 80">
                <a:extLst>
                  <a:ext uri="{FF2B5EF4-FFF2-40B4-BE49-F238E27FC236}">
                    <a16:creationId xmlns:a16="http://schemas.microsoft.com/office/drawing/2014/main" id="{00000000-0008-0000-0400-000051000000}"/>
                  </a:ext>
                </a:extLst>
              </xdr:cNvPr>
              <xdr:cNvPicPr>
                <a:picLocks noChangeAspect="1" noChangeArrowheads="1"/>
                <a:extLst>
                  <a:ext uri="{84589F7E-364E-4C9E-8A38-B11213B215E9}">
                    <a14:cameraTool cellRange="'SECTORAL ANALYSIS'!$E$6:$X$36" spid="_x0000_s126797"/>
                  </a:ext>
                </a:extLst>
              </xdr:cNvPicPr>
            </xdr:nvPicPr>
            <xdr:blipFill>
              <a:blip xmlns:r="http://schemas.openxmlformats.org/officeDocument/2006/relationships" r:embed="rId27"/>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mc:AlternateContent xmlns:mc="http://schemas.openxmlformats.org/markup-compatibility/2006">
    <mc:Choice xmlns:a14="http://schemas.microsoft.com/office/drawing/2010/main" Requires="a14">
      <xdr:twoCellAnchor>
        <xdr:from>
          <xdr:col>11</xdr:col>
          <xdr:colOff>114300</xdr:colOff>
          <xdr:row>33</xdr:row>
          <xdr:rowOff>133350</xdr:rowOff>
        </xdr:from>
        <xdr:to>
          <xdr:col>12</xdr:col>
          <xdr:colOff>145541</xdr:colOff>
          <xdr:row>35</xdr:row>
          <xdr:rowOff>60597</xdr:rowOff>
        </xdr:to>
        <xdr:pic>
          <xdr:nvPicPr>
            <xdr:cNvPr id="69" name="Picture 68">
              <a:hlinkClick xmlns:r="http://schemas.openxmlformats.org/officeDocument/2006/relationships" r:id="rId28" tooltip="Cover Page"/>
              <a:extLst>
                <a:ext uri="{FF2B5EF4-FFF2-40B4-BE49-F238E27FC236}">
                  <a16:creationId xmlns:a16="http://schemas.microsoft.com/office/drawing/2014/main" id="{00000000-0008-0000-0400-000045000000}"/>
                </a:ext>
              </a:extLst>
            </xdr:cNvPr>
            <xdr:cNvPicPr>
              <a:picLocks noChangeAspect="1" noChangeArrowheads="1"/>
              <a:extLst>
                <a:ext uri="{84589F7E-364E-4C9E-8A38-B11213B215E9}">
                  <a14:cameraTool cellRange="COVER!$E$6:$X$34" spid="_x0000_s126798"/>
                </a:ext>
              </a:extLst>
            </xdr:cNvPicPr>
          </xdr:nvPicPr>
          <xdr:blipFill>
            <a:blip xmlns:r="http://schemas.openxmlformats.org/officeDocument/2006/relationships" r:embed="rId29"/>
            <a:srcRect/>
            <a:stretch>
              <a:fillRect/>
            </a:stretch>
          </xdr:blipFill>
          <xdr:spPr bwMode="auto">
            <a:xfrm>
              <a:off x="5343525" y="6934200"/>
              <a:ext cx="488441" cy="327297"/>
            </a:xfrm>
            <a:prstGeom prst="rect">
              <a:avLst/>
            </a:prstGeom>
            <a:solidFill>
              <a:schemeClr val="bg1"/>
            </a:solidFill>
            <a:ln w="9525">
              <a:noFill/>
              <a:miter lim="800000"/>
              <a:headEnd/>
              <a:tailEnd/>
            </a:ln>
          </xdr:spPr>
        </xdr:pic>
        <xdr:clientData/>
      </xdr:twoCellAnchor>
    </mc:Choice>
    <mc:Fallback/>
  </mc:AlternateContent>
  <xdr:twoCellAnchor>
    <xdr:from>
      <xdr:col>24</xdr:col>
      <xdr:colOff>60960</xdr:colOff>
      <xdr:row>1</xdr:row>
      <xdr:rowOff>106680</xdr:rowOff>
    </xdr:from>
    <xdr:to>
      <xdr:col>31</xdr:col>
      <xdr:colOff>91440</xdr:colOff>
      <xdr:row>4</xdr:row>
      <xdr:rowOff>213360</xdr:rowOff>
    </xdr:to>
    <xdr:grpSp>
      <xdr:nvGrpSpPr>
        <xdr:cNvPr id="12" name="Group 11">
          <a:extLst>
            <a:ext uri="{FF2B5EF4-FFF2-40B4-BE49-F238E27FC236}">
              <a16:creationId xmlns:a16="http://schemas.microsoft.com/office/drawing/2014/main" id="{00000000-0008-0000-0400-00000C000000}"/>
            </a:ext>
          </a:extLst>
        </xdr:cNvPr>
        <xdr:cNvGrpSpPr/>
      </xdr:nvGrpSpPr>
      <xdr:grpSpPr>
        <a:xfrm>
          <a:off x="12146280" y="106680"/>
          <a:ext cx="2621280" cy="982980"/>
          <a:chOff x="11597640" y="106680"/>
          <a:chExt cx="2621280" cy="982980"/>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037820" y="106680"/>
            <a:ext cx="1181100" cy="977092"/>
          </a:xfrm>
          <a:prstGeom prst="rect">
            <a:avLst/>
          </a:prstGeom>
        </xdr:spPr>
      </xdr:pic>
      <xdr:sp macro="" textlink="">
        <xdr:nvSpPr>
          <xdr:cNvPr id="65" name="Rectangle 64">
            <a:extLst>
              <a:ext uri="{FF2B5EF4-FFF2-40B4-BE49-F238E27FC236}">
                <a16:creationId xmlns:a16="http://schemas.microsoft.com/office/drawing/2014/main" id="{00000000-0008-0000-0400-000041000000}"/>
              </a:ext>
            </a:extLst>
          </xdr:cNvPr>
          <xdr:cNvSpPr/>
        </xdr:nvSpPr>
        <xdr:spPr>
          <a:xfrm>
            <a:off x="11597640" y="114300"/>
            <a:ext cx="1409700" cy="97536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800" b="1" i="0" baseline="0">
                <a:solidFill>
                  <a:schemeClr val="bg1"/>
                </a:solidFill>
              </a:rPr>
              <a:t>To make best use of the screen area, we recommend that you "auto-hide" the Excel ribbon using the button in top right hand corner of the screen as shown in the image to the right</a:t>
            </a:r>
            <a:endParaRPr lang="en-GB" sz="800" b="0" i="1" baseline="0">
              <a:solidFill>
                <a:schemeClr val="bg1"/>
              </a:solidFill>
            </a:endParaRPr>
          </a:p>
        </xdr:txBody>
      </xdr:sp>
    </xdr:grpSp>
    <xdr:clientData/>
  </xdr:twoCellAnchor>
  <xdr:twoCellAnchor>
    <xdr:from>
      <xdr:col>11</xdr:col>
      <xdr:colOff>66675</xdr:colOff>
      <xdr:row>21</xdr:row>
      <xdr:rowOff>95250</xdr:rowOff>
    </xdr:from>
    <xdr:to>
      <xdr:col>15</xdr:col>
      <xdr:colOff>102060</xdr:colOff>
      <xdr:row>31</xdr:row>
      <xdr:rowOff>114083</xdr:rowOff>
    </xdr:to>
    <xdr:grpSp>
      <xdr:nvGrpSpPr>
        <xdr:cNvPr id="67" name="Group 66">
          <a:hlinkClick xmlns:r="http://schemas.openxmlformats.org/officeDocument/2006/relationships" r:id="rId31" tooltip="Visitor Type Distribution - The Relative Contributions Made by Each Visitor Type to Economic Impact, Tourist Numbers, Tourist Days and Employment"/>
          <a:extLst>
            <a:ext uri="{FF2B5EF4-FFF2-40B4-BE49-F238E27FC236}">
              <a16:creationId xmlns:a16="http://schemas.microsoft.com/office/drawing/2014/main" id="{00000000-0008-0000-0400-000043000000}"/>
            </a:ext>
          </a:extLst>
        </xdr:cNvPr>
        <xdr:cNvGrpSpPr/>
      </xdr:nvGrpSpPr>
      <xdr:grpSpPr>
        <a:xfrm>
          <a:off x="5614035" y="4598670"/>
          <a:ext cx="2047065" cy="2076233"/>
          <a:chOff x="1432558" y="4594860"/>
          <a:chExt cx="1908000" cy="2076233"/>
        </a:xfrm>
      </xdr:grpSpPr>
      <xdr:sp macro="" textlink="">
        <xdr:nvSpPr>
          <xdr:cNvPr id="68" name="TextBox 67">
            <a:extLst>
              <a:ext uri="{FF2B5EF4-FFF2-40B4-BE49-F238E27FC236}">
                <a16:creationId xmlns:a16="http://schemas.microsoft.com/office/drawing/2014/main" id="{00000000-0008-0000-0400-000044000000}"/>
              </a:ext>
            </a:extLst>
          </xdr:cNvPr>
          <xdr:cNvSpPr txBox="1"/>
        </xdr:nvSpPr>
        <xdr:spPr>
          <a:xfrm>
            <a:off x="1432558" y="4594860"/>
            <a:ext cx="1907998" cy="900000"/>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Annual Impact Distribution</a:t>
            </a:r>
            <a:r>
              <a:rPr lang="en-GB" sz="1400" b="1" baseline="0">
                <a:solidFill>
                  <a:srgbClr val="FFFF00"/>
                </a:solidFill>
              </a:rPr>
              <a:t> by Visitor Type</a:t>
            </a:r>
          </a:p>
        </xdr:txBody>
      </xdr:sp>
      <mc:AlternateContent xmlns:mc="http://schemas.openxmlformats.org/markup-compatibility/2006" xmlns:a14="http://schemas.microsoft.com/office/drawing/2010/main">
        <mc:Choice Requires="a14">
          <xdr:pic>
            <xdr:nvPicPr>
              <xdr:cNvPr id="72" name="Picture 71">
                <a:extLst>
                  <a:ext uri="{FF2B5EF4-FFF2-40B4-BE49-F238E27FC236}">
                    <a16:creationId xmlns:a16="http://schemas.microsoft.com/office/drawing/2014/main" id="{00000000-0008-0000-0400-000048000000}"/>
                  </a:ext>
                </a:extLst>
              </xdr:cNvPr>
              <xdr:cNvPicPr>
                <a:picLocks noChangeAspect="1" noChangeArrowheads="1"/>
                <a:extLst>
                  <a:ext uri="{84589F7E-364E-4C9E-8A38-B11213B215E9}">
                    <a14:cameraTool cellRange="'VISITOR TYPE DISTRIBUTION'!$E$6:$X$37" spid="_x0000_s126799"/>
                  </a:ext>
                </a:extLst>
              </xdr:cNvPicPr>
            </xdr:nvPicPr>
            <xdr:blipFill>
              <a:blip xmlns:r="http://schemas.openxmlformats.org/officeDocument/2006/relationships" r:embed="rId32"/>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15</xdr:col>
      <xdr:colOff>219075</xdr:colOff>
      <xdr:row>21</xdr:row>
      <xdr:rowOff>95250</xdr:rowOff>
    </xdr:from>
    <xdr:to>
      <xdr:col>19</xdr:col>
      <xdr:colOff>254460</xdr:colOff>
      <xdr:row>31</xdr:row>
      <xdr:rowOff>114083</xdr:rowOff>
    </xdr:to>
    <xdr:grpSp>
      <xdr:nvGrpSpPr>
        <xdr:cNvPr id="87" name="Group 86">
          <a:hlinkClick xmlns:r="http://schemas.openxmlformats.org/officeDocument/2006/relationships" r:id="rId33" tooltip="Monthly Distribution - The Relative Contributions Made by Each Visitor Type to Economic Impact, Tourist Numbers, Tourist Days and Employment by Month"/>
          <a:extLst>
            <a:ext uri="{FF2B5EF4-FFF2-40B4-BE49-F238E27FC236}">
              <a16:creationId xmlns:a16="http://schemas.microsoft.com/office/drawing/2014/main" id="{00000000-0008-0000-0400-000057000000}"/>
            </a:ext>
          </a:extLst>
        </xdr:cNvPr>
        <xdr:cNvGrpSpPr/>
      </xdr:nvGrpSpPr>
      <xdr:grpSpPr>
        <a:xfrm>
          <a:off x="7778115" y="4598670"/>
          <a:ext cx="2047065" cy="2076233"/>
          <a:chOff x="1432558" y="4594860"/>
          <a:chExt cx="1908000" cy="2076233"/>
        </a:xfrm>
      </xdr:grpSpPr>
      <xdr:sp macro="" textlink="">
        <xdr:nvSpPr>
          <xdr:cNvPr id="88" name="TextBox 87">
            <a:extLst>
              <a:ext uri="{FF2B5EF4-FFF2-40B4-BE49-F238E27FC236}">
                <a16:creationId xmlns:a16="http://schemas.microsoft.com/office/drawing/2014/main" id="{00000000-0008-0000-0400-000058000000}"/>
              </a:ext>
            </a:extLst>
          </xdr:cNvPr>
          <xdr:cNvSpPr txBox="1"/>
        </xdr:nvSpPr>
        <xdr:spPr>
          <a:xfrm>
            <a:off x="1432558" y="4594860"/>
            <a:ext cx="1907998" cy="900000"/>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Monthly</a:t>
            </a:r>
            <a:r>
              <a:rPr lang="en-GB" sz="1400" b="1" baseline="0">
                <a:solidFill>
                  <a:srgbClr val="FFFF00"/>
                </a:solidFill>
              </a:rPr>
              <a:t> </a:t>
            </a:r>
            <a:r>
              <a:rPr lang="en-GB" sz="1400" b="1">
                <a:solidFill>
                  <a:srgbClr val="FFFF00"/>
                </a:solidFill>
              </a:rPr>
              <a:t>Impact Distribution</a:t>
            </a:r>
            <a:r>
              <a:rPr lang="en-GB" sz="1400" b="1" baseline="0">
                <a:solidFill>
                  <a:srgbClr val="FFFF00"/>
                </a:solidFill>
              </a:rPr>
              <a:t> by Visitor Type</a:t>
            </a:r>
          </a:p>
        </xdr:txBody>
      </xdr:sp>
      <mc:AlternateContent xmlns:mc="http://schemas.openxmlformats.org/markup-compatibility/2006" xmlns:a14="http://schemas.microsoft.com/office/drawing/2010/main">
        <mc:Choice Requires="a14">
          <xdr:pic>
            <xdr:nvPicPr>
              <xdr:cNvPr id="90" name="Picture 89">
                <a:extLst>
                  <a:ext uri="{FF2B5EF4-FFF2-40B4-BE49-F238E27FC236}">
                    <a16:creationId xmlns:a16="http://schemas.microsoft.com/office/drawing/2014/main" id="{00000000-0008-0000-0400-00005A000000}"/>
                  </a:ext>
                </a:extLst>
              </xdr:cNvPr>
              <xdr:cNvPicPr>
                <a:picLocks noChangeAspect="1" noChangeArrowheads="1"/>
                <a:extLst>
                  <a:ext uri="{84589F7E-364E-4C9E-8A38-B11213B215E9}">
                    <a14:cameraTool cellRange="'MONTHLY DISTRIBUTION'!$E$6:$X$38" spid="_x0000_s126800"/>
                  </a:ext>
                </a:extLst>
              </xdr:cNvPicPr>
            </xdr:nvPicPr>
            <xdr:blipFill>
              <a:blip xmlns:r="http://schemas.openxmlformats.org/officeDocument/2006/relationships" r:embed="rId34"/>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19</xdr:col>
      <xdr:colOff>361950</xdr:colOff>
      <xdr:row>21</xdr:row>
      <xdr:rowOff>95250</xdr:rowOff>
    </xdr:from>
    <xdr:to>
      <xdr:col>23</xdr:col>
      <xdr:colOff>397335</xdr:colOff>
      <xdr:row>31</xdr:row>
      <xdr:rowOff>114083</xdr:rowOff>
    </xdr:to>
    <xdr:grpSp>
      <xdr:nvGrpSpPr>
        <xdr:cNvPr id="74" name="Group 73">
          <a:hlinkClick xmlns:r="http://schemas.openxmlformats.org/officeDocument/2006/relationships" r:id="rId35" tooltip="Accommodation Supply - Establishments and Bedspaces by Type and Sub-Type of Accommodation"/>
          <a:extLst>
            <a:ext uri="{FF2B5EF4-FFF2-40B4-BE49-F238E27FC236}">
              <a16:creationId xmlns:a16="http://schemas.microsoft.com/office/drawing/2014/main" id="{00000000-0008-0000-0400-00004A000000}"/>
            </a:ext>
          </a:extLst>
        </xdr:cNvPr>
        <xdr:cNvGrpSpPr/>
      </xdr:nvGrpSpPr>
      <xdr:grpSpPr>
        <a:xfrm>
          <a:off x="9932670" y="4598670"/>
          <a:ext cx="2047065" cy="2076233"/>
          <a:chOff x="1432558" y="4594860"/>
          <a:chExt cx="1908000" cy="2076233"/>
        </a:xfrm>
      </xdr:grpSpPr>
      <xdr:sp macro="" textlink="">
        <xdr:nvSpPr>
          <xdr:cNvPr id="82" name="TextBox 81">
            <a:extLst>
              <a:ext uri="{FF2B5EF4-FFF2-40B4-BE49-F238E27FC236}">
                <a16:creationId xmlns:a16="http://schemas.microsoft.com/office/drawing/2014/main" id="{00000000-0008-0000-0400-000052000000}"/>
              </a:ext>
            </a:extLst>
          </xdr:cNvPr>
          <xdr:cNvSpPr txBox="1"/>
        </xdr:nvSpPr>
        <xdr:spPr>
          <a:xfrm>
            <a:off x="1432558" y="4594860"/>
            <a:ext cx="1907998" cy="900000"/>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Accommodation</a:t>
            </a:r>
          </a:p>
          <a:p>
            <a:pPr algn="ctr"/>
            <a:r>
              <a:rPr lang="en-GB" sz="1400" b="1" baseline="0">
                <a:solidFill>
                  <a:srgbClr val="FFFF00"/>
                </a:solidFill>
              </a:rPr>
              <a:t>Supply by</a:t>
            </a:r>
          </a:p>
          <a:p>
            <a:pPr algn="ctr"/>
            <a:r>
              <a:rPr lang="en-GB" sz="1400" b="1" baseline="0">
                <a:solidFill>
                  <a:srgbClr val="FFFF00"/>
                </a:solidFill>
              </a:rPr>
              <a:t>Type of Establishment</a:t>
            </a:r>
          </a:p>
        </xdr:txBody>
      </xdr:sp>
      <mc:AlternateContent xmlns:mc="http://schemas.openxmlformats.org/markup-compatibility/2006" xmlns:a14="http://schemas.microsoft.com/office/drawing/2010/main">
        <mc:Choice Requires="a14">
          <xdr:pic>
            <xdr:nvPicPr>
              <xdr:cNvPr id="83" name="Picture 82">
                <a:extLst>
                  <a:ext uri="{FF2B5EF4-FFF2-40B4-BE49-F238E27FC236}">
                    <a16:creationId xmlns:a16="http://schemas.microsoft.com/office/drawing/2014/main" id="{00000000-0008-0000-0400-000053000000}"/>
                  </a:ext>
                </a:extLst>
              </xdr:cNvPr>
              <xdr:cNvPicPr>
                <a:picLocks noChangeAspect="1" noChangeArrowheads="1"/>
                <a:extLst>
                  <a:ext uri="{84589F7E-364E-4C9E-8A38-B11213B215E9}">
                    <a14:cameraTool cellRange="'ACCOMMODATION SUPPLY'!$E$6:$X$38" spid="_x0000_s126801"/>
                  </a:ext>
                </a:extLst>
              </xdr:cNvPicPr>
            </xdr:nvPicPr>
            <xdr:blipFill>
              <a:blip xmlns:r="http://schemas.openxmlformats.org/officeDocument/2006/relationships" r:embed="rId36"/>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0500-000004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a:extLst>
            <a:ext uri="{FF2B5EF4-FFF2-40B4-BE49-F238E27FC236}">
              <a16:creationId xmlns:a16="http://schemas.microsoft.com/office/drawing/2014/main" id="{00000000-0008-0000-0500-000005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11" name="Rectangle 10">
          <a:extLst>
            <a:ext uri="{FF2B5EF4-FFF2-40B4-BE49-F238E27FC236}">
              <a16:creationId xmlns:a16="http://schemas.microsoft.com/office/drawing/2014/main" id="{00000000-0008-0000-0500-00000B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a:extLst>
            <a:ext uri="{FF2B5EF4-FFF2-40B4-BE49-F238E27FC236}">
              <a16:creationId xmlns:a16="http://schemas.microsoft.com/office/drawing/2014/main" id="{00000000-0008-0000-0500-00000C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13" name="TextBox 12">
          <a:extLst>
            <a:ext uri="{FF2B5EF4-FFF2-40B4-BE49-F238E27FC236}">
              <a16:creationId xmlns:a16="http://schemas.microsoft.com/office/drawing/2014/main" id="{00000000-0008-0000-0500-00000D000000}"/>
            </a:ext>
          </a:extLst>
        </xdr:cNvPr>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23</xdr:col>
      <xdr:colOff>114300</xdr:colOff>
      <xdr:row>5</xdr:row>
      <xdr:rowOff>56617</xdr:rowOff>
    </xdr:from>
    <xdr:to>
      <xdr:col>23</xdr:col>
      <xdr:colOff>409575</xdr:colOff>
      <xdr:row>6</xdr:row>
      <xdr:rowOff>154564</xdr:rowOff>
    </xdr:to>
    <xdr:pic>
      <xdr:nvPicPr>
        <xdr:cNvPr id="31" name="Picture 12">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1315700" y="1256767"/>
          <a:ext cx="295275" cy="297972"/>
        </a:xfrm>
        <a:prstGeom prst="roundRect">
          <a:avLst>
            <a:gd name="adj" fmla="val 8594"/>
          </a:avLst>
        </a:prstGeom>
        <a:noFill/>
        <a:ln>
          <a:noFill/>
        </a:ln>
        <a:effectLst>
          <a:softEdge rad="12700"/>
        </a:effectLst>
      </xdr:spPr>
    </xdr:pic>
    <xdr:clientData/>
  </xdr:twoCellAnchor>
  <xdr:twoCellAnchor>
    <xdr:from>
      <xdr:col>4</xdr:col>
      <xdr:colOff>47625</xdr:colOff>
      <xdr:row>7</xdr:row>
      <xdr:rowOff>85724</xdr:rowOff>
    </xdr:from>
    <xdr:to>
      <xdr:col>23</xdr:col>
      <xdr:colOff>457200</xdr:colOff>
      <xdr:row>37</xdr:row>
      <xdr:rowOff>76200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343025" y="1685924"/>
          <a:ext cx="10315575" cy="5791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tx1">
                  <a:lumMod val="65000"/>
                  <a:lumOff val="35000"/>
                </a:schemeClr>
              </a:solidFill>
            </a:rPr>
            <a:t>Report</a:t>
          </a:r>
          <a:r>
            <a:rPr lang="en-GB" sz="1200" b="1" baseline="0">
              <a:solidFill>
                <a:schemeClr val="tx1">
                  <a:lumMod val="65000"/>
                  <a:lumOff val="35000"/>
                </a:schemeClr>
              </a:solidFill>
            </a:rPr>
            <a:t> </a:t>
          </a:r>
          <a:r>
            <a:rPr lang="en-GB" sz="1200" b="1">
              <a:solidFill>
                <a:schemeClr val="tx1">
                  <a:lumMod val="65000"/>
                  <a:lumOff val="35000"/>
                </a:schemeClr>
              </a:solidFill>
            </a:rPr>
            <a:t>Section </a:t>
          </a:r>
          <a:r>
            <a:rPr lang="en-GB" sz="1200" b="1" baseline="0">
              <a:solidFill>
                <a:schemeClr val="tx1">
                  <a:lumMod val="65000"/>
                  <a:lumOff val="35000"/>
                </a:schemeClr>
              </a:solidFill>
            </a:rPr>
            <a:t>Design and Features</a:t>
          </a:r>
        </a:p>
        <a:p>
          <a:r>
            <a:rPr lang="en-GB" sz="1100" b="1" i="1" baseline="0">
              <a:solidFill>
                <a:schemeClr val="tx1">
                  <a:lumMod val="50000"/>
                  <a:lumOff val="50000"/>
                </a:schemeClr>
              </a:solidFill>
            </a:rPr>
            <a:t>Headers</a:t>
          </a:r>
        </a:p>
        <a:p>
          <a:r>
            <a:rPr lang="en-GB" sz="1000" b="0" i="0" baseline="0"/>
            <a:t>At the top of each page is a band containing key information about your report</a:t>
          </a:r>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r>
            <a:rPr lang="en-GB" sz="1100" b="1" i="1" baseline="0">
              <a:solidFill>
                <a:schemeClr val="tx1">
                  <a:lumMod val="50000"/>
                  <a:lumOff val="50000"/>
                </a:schemeClr>
              </a:solidFill>
              <a:effectLst/>
              <a:latin typeface="+mn-lt"/>
              <a:ea typeface="+mn-ea"/>
              <a:cs typeface="+mn-cs"/>
            </a:rPr>
            <a:t>User Controls (Excel File)</a:t>
          </a:r>
          <a:endParaRPr lang="en-GB">
            <a:solidFill>
              <a:schemeClr val="tx1">
                <a:lumMod val="50000"/>
                <a:lumOff val="50000"/>
              </a:schemeClr>
            </a:solidFill>
            <a:effectLst/>
          </a:endParaRPr>
        </a:p>
        <a:p>
          <a:r>
            <a:rPr lang="en-GB" sz="1000" b="0" i="0" baseline="0">
              <a:solidFill>
                <a:schemeClr val="dk1"/>
              </a:solidFill>
              <a:effectLst/>
              <a:latin typeface="+mn-lt"/>
              <a:ea typeface="+mn-ea"/>
              <a:cs typeface="+mn-cs"/>
            </a:rPr>
            <a:t>Above the </a:t>
          </a:r>
          <a:r>
            <a:rPr lang="en-GB" sz="1000" b="1" i="1" baseline="0">
              <a:solidFill>
                <a:schemeClr val="tx1">
                  <a:lumMod val="50000"/>
                  <a:lumOff val="50000"/>
                </a:schemeClr>
              </a:solidFill>
              <a:effectLst/>
              <a:latin typeface="+mn-lt"/>
              <a:ea typeface="+mn-ea"/>
              <a:cs typeface="+mn-cs"/>
            </a:rPr>
            <a:t>Headers </a:t>
          </a:r>
          <a:r>
            <a:rPr lang="en-GB" sz="1000" b="0" i="0" baseline="0">
              <a:solidFill>
                <a:schemeClr val="dk1"/>
              </a:solidFill>
              <a:effectLst/>
              <a:latin typeface="+mn-lt"/>
              <a:ea typeface="+mn-ea"/>
              <a:cs typeface="+mn-cs"/>
            </a:rPr>
            <a:t>is a band containing </a:t>
          </a:r>
          <a:r>
            <a:rPr lang="en-GB" sz="1000" b="1" i="1" baseline="0">
              <a:solidFill>
                <a:schemeClr val="tx1">
                  <a:lumMod val="50000"/>
                  <a:lumOff val="50000"/>
                </a:schemeClr>
              </a:solidFill>
              <a:effectLst/>
              <a:latin typeface="+mn-lt"/>
              <a:ea typeface="+mn-ea"/>
              <a:cs typeface="+mn-cs"/>
            </a:rPr>
            <a:t>User Controls</a:t>
          </a:r>
          <a:r>
            <a:rPr lang="en-GB" sz="1000" b="0" i="0" baseline="0">
              <a:solidFill>
                <a:schemeClr val="dk1"/>
              </a:solidFill>
              <a:effectLst/>
              <a:latin typeface="+mn-lt"/>
              <a:ea typeface="+mn-ea"/>
              <a:cs typeface="+mn-cs"/>
            </a:rPr>
            <a:t>, these allow you to adjust various features of your report to suit your needs. When using these controls the report recalculates and represents your STEAM report outputs automatically. You may notice some delay between changing a setting and seeing the result, or being able to adjust a further setting, this is entirely normal. </a:t>
          </a:r>
          <a:endParaRPr lang="en-GB" sz="1000" i="0">
            <a:effectLst/>
          </a:endParaRPr>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r>
            <a:rPr lang="en-GB" sz="1100" b="1" i="1" baseline="0">
              <a:solidFill>
                <a:schemeClr val="tx1">
                  <a:lumMod val="50000"/>
                  <a:lumOff val="50000"/>
                </a:schemeClr>
              </a:solidFill>
              <a:effectLst/>
              <a:latin typeface="+mn-lt"/>
              <a:ea typeface="+mn-ea"/>
              <a:cs typeface="+mn-cs"/>
            </a:rPr>
            <a:t>Units</a:t>
          </a:r>
          <a:endParaRPr lang="en-GB">
            <a:solidFill>
              <a:schemeClr val="tx1">
                <a:lumMod val="50000"/>
                <a:lumOff val="50000"/>
              </a:schemeClr>
            </a:solidFill>
            <a:effectLst/>
          </a:endParaRPr>
        </a:p>
        <a:p>
          <a:r>
            <a:rPr lang="en-GB" sz="1000" b="0" i="0" baseline="0">
              <a:solidFill>
                <a:schemeClr val="dk1"/>
              </a:solidFill>
              <a:effectLst/>
              <a:latin typeface="+mn-lt"/>
              <a:ea typeface="+mn-ea"/>
              <a:cs typeface="+mn-cs"/>
            </a:rPr>
            <a:t>Each section of the report automatically adjusts number formatting to present data in the most easily understandable way.  Different visitor types can generate impacts at very different scales and as a result you may see figures for one group of visitors in thousands and another in millions.  The units we use are:</a:t>
          </a:r>
        </a:p>
        <a:p>
          <a:endParaRPr lang="en-GB" sz="1000" b="0"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000" b="1" i="0" baseline="0">
              <a:solidFill>
                <a:schemeClr val="dk1"/>
              </a:solidFill>
              <a:effectLst/>
              <a:latin typeface="+mn-lt"/>
              <a:ea typeface="+mn-ea"/>
              <a:cs typeface="+mn-cs"/>
            </a:rPr>
            <a:t>FTEs	= </a:t>
          </a:r>
          <a:r>
            <a:rPr lang="en-GB" sz="1000" b="0" i="0" baseline="0">
              <a:solidFill>
                <a:schemeClr val="dk1"/>
              </a:solidFill>
              <a:effectLst/>
              <a:latin typeface="+mn-lt"/>
              <a:ea typeface="+mn-ea"/>
              <a:cs typeface="+mn-cs"/>
            </a:rPr>
            <a:t>Full Time Equivalent jobs supported</a:t>
          </a:r>
        </a:p>
        <a:p>
          <a:pPr marL="0" marR="0" indent="0" defTabSz="914400" eaLnBrk="1" fontAlgn="auto" latinLnBrk="0" hangingPunct="1">
            <a:lnSpc>
              <a:spcPct val="100000"/>
            </a:lnSpc>
            <a:spcBef>
              <a:spcPts val="0"/>
            </a:spcBef>
            <a:spcAft>
              <a:spcPts val="0"/>
            </a:spcAft>
            <a:buClrTx/>
            <a:buSzTx/>
            <a:buFontTx/>
            <a:buNone/>
            <a:tabLst/>
            <a:defRPr/>
          </a:pPr>
          <a:r>
            <a:rPr lang="en-GB" sz="1000" b="1" i="0" baseline="0">
              <a:solidFill>
                <a:schemeClr val="dk1"/>
              </a:solidFill>
              <a:effectLst/>
              <a:latin typeface="+mn-lt"/>
              <a:ea typeface="+mn-ea"/>
              <a:cs typeface="+mn-cs"/>
            </a:rPr>
            <a:t>£000s / 000s</a:t>
          </a:r>
          <a:r>
            <a:rPr lang="en-GB" sz="1000" b="0" i="0" baseline="0">
              <a:solidFill>
                <a:schemeClr val="dk1"/>
              </a:solidFill>
              <a:effectLst/>
              <a:latin typeface="+mn-lt"/>
              <a:ea typeface="+mn-ea"/>
              <a:cs typeface="+mn-cs"/>
            </a:rPr>
            <a:t> 	= thousands of pounds or thousands of tourist days / tourist numbers</a:t>
          </a:r>
          <a:endParaRPr lang="en-GB" sz="1000">
            <a:effectLst/>
          </a:endParaRPr>
        </a:p>
        <a:p>
          <a:r>
            <a:rPr lang="en-GB" sz="1000" b="1" i="0" baseline="0">
              <a:solidFill>
                <a:schemeClr val="dk1"/>
              </a:solidFill>
              <a:effectLst/>
              <a:latin typeface="+mn-lt"/>
              <a:ea typeface="+mn-ea"/>
              <a:cs typeface="+mn-cs"/>
            </a:rPr>
            <a:t>£m / m</a:t>
          </a:r>
          <a:r>
            <a:rPr lang="en-GB" sz="1000" b="0" i="0" baseline="0">
              <a:solidFill>
                <a:schemeClr val="dk1"/>
              </a:solidFill>
              <a:effectLst/>
              <a:latin typeface="+mn-lt"/>
              <a:ea typeface="+mn-ea"/>
              <a:cs typeface="+mn-cs"/>
            </a:rPr>
            <a:t> 	= millions of pounds or millions of tourist days / tourist numbers</a:t>
          </a:r>
        </a:p>
        <a:p>
          <a:r>
            <a:rPr lang="en-GB" sz="1000" b="1" i="0" baseline="0">
              <a:solidFill>
                <a:schemeClr val="dk1"/>
              </a:solidFill>
              <a:effectLst/>
              <a:latin typeface="+mn-lt"/>
              <a:ea typeface="+mn-ea"/>
              <a:cs typeface="+mn-cs"/>
            </a:rPr>
            <a:t>£bn / bn	= </a:t>
          </a:r>
          <a:r>
            <a:rPr lang="en-GB" sz="1000" b="0" i="0" baseline="0">
              <a:solidFill>
                <a:schemeClr val="dk1"/>
              </a:solidFill>
              <a:effectLst/>
              <a:latin typeface="+mn-lt"/>
              <a:ea typeface="+mn-ea"/>
              <a:cs typeface="+mn-cs"/>
            </a:rPr>
            <a:t>billions of pounds or billions of tourist days / tourist numbers</a:t>
          </a:r>
          <a:endParaRPr lang="en-GB" sz="1000" b="0">
            <a:effectLst/>
          </a:endParaRPr>
        </a:p>
        <a:p>
          <a:endParaRPr lang="en-GB" sz="1000" b="0" i="0" baseline="0"/>
        </a:p>
        <a:p>
          <a:r>
            <a:rPr lang="en-GB" sz="1100" b="1" i="1" baseline="0">
              <a:solidFill>
                <a:schemeClr val="tx1">
                  <a:lumMod val="50000"/>
                  <a:lumOff val="50000"/>
                </a:schemeClr>
              </a:solidFill>
              <a:effectLst/>
              <a:latin typeface="+mn-lt"/>
              <a:ea typeface="+mn-ea"/>
              <a:cs typeface="+mn-cs"/>
            </a:rPr>
            <a:t>Visitor Numbers / Visitor Days / Average Length of Stay</a:t>
          </a:r>
          <a:endParaRPr lang="en-GB" sz="1100">
            <a:solidFill>
              <a:schemeClr val="tx1">
                <a:lumMod val="50000"/>
                <a:lumOff val="50000"/>
              </a:schemeClr>
            </a:solidFill>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000" b="0" i="0" baseline="0">
              <a:solidFill>
                <a:schemeClr val="tx1"/>
              </a:solidFill>
            </a:rPr>
            <a:t>The term </a:t>
          </a:r>
          <a:r>
            <a:rPr lang="en-GB" sz="1000" b="1" i="1" baseline="0">
              <a:solidFill>
                <a:schemeClr val="tx1">
                  <a:lumMod val="50000"/>
                  <a:lumOff val="50000"/>
                </a:schemeClr>
              </a:solidFill>
            </a:rPr>
            <a:t>Visitor Numbers </a:t>
          </a:r>
          <a:r>
            <a:rPr lang="en-GB" sz="1000" b="0" i="0" baseline="0"/>
            <a:t>relates to the estimated number of individual </a:t>
          </a:r>
          <a:r>
            <a:rPr lang="en-GB" sz="1000" b="1" i="0" baseline="0"/>
            <a:t>visits </a:t>
          </a:r>
          <a:r>
            <a:rPr lang="en-GB" sz="1000" b="0" i="0" baseline="0"/>
            <a:t>to the area. Each type of visitor tends to stay, on average, a different length of time (Average Length of Stay).  </a:t>
          </a:r>
          <a:r>
            <a:rPr lang="en-GB" sz="1000" b="0" i="0" baseline="0">
              <a:solidFill>
                <a:schemeClr val="dk1"/>
              </a:solidFill>
              <a:effectLst/>
              <a:latin typeface="+mn-lt"/>
              <a:ea typeface="+mn-ea"/>
              <a:cs typeface="+mn-cs"/>
            </a:rPr>
            <a:t>The term </a:t>
          </a:r>
          <a:r>
            <a:rPr lang="en-GB" sz="1000" b="1" i="1" baseline="0">
              <a:solidFill>
                <a:schemeClr val="tx1">
                  <a:lumMod val="50000"/>
                  <a:lumOff val="50000"/>
                </a:schemeClr>
              </a:solidFill>
              <a:effectLst/>
              <a:latin typeface="+mn-lt"/>
              <a:ea typeface="+mn-ea"/>
              <a:cs typeface="+mn-cs"/>
            </a:rPr>
            <a:t>Visitor Days</a:t>
          </a:r>
          <a:r>
            <a:rPr lang="en-GB" sz="1000" b="1" i="1" baseline="0">
              <a:solidFill>
                <a:schemeClr val="dk1"/>
              </a:solidFill>
              <a:effectLst/>
              <a:latin typeface="+mn-lt"/>
              <a:ea typeface="+mn-ea"/>
              <a:cs typeface="+mn-cs"/>
            </a:rPr>
            <a:t> </a:t>
          </a:r>
          <a:r>
            <a:rPr lang="en-GB" sz="1000" b="0" i="0" baseline="0">
              <a:solidFill>
                <a:schemeClr val="dk1"/>
              </a:solidFill>
              <a:effectLst/>
              <a:latin typeface="+mn-lt"/>
              <a:ea typeface="+mn-ea"/>
              <a:cs typeface="+mn-cs"/>
            </a:rPr>
            <a:t>relates to the estimated number of </a:t>
          </a:r>
          <a:r>
            <a:rPr lang="en-GB" sz="1000" b="1" i="0" baseline="0">
              <a:solidFill>
                <a:schemeClr val="dk1"/>
              </a:solidFill>
              <a:effectLst/>
              <a:latin typeface="+mn-lt"/>
              <a:ea typeface="+mn-ea"/>
              <a:cs typeface="+mn-cs"/>
            </a:rPr>
            <a:t>days </a:t>
          </a:r>
          <a:r>
            <a:rPr lang="en-GB" sz="1000" b="0" i="0" baseline="0">
              <a:solidFill>
                <a:schemeClr val="dk1"/>
              </a:solidFill>
              <a:effectLst/>
              <a:latin typeface="+mn-lt"/>
              <a:ea typeface="+mn-ea"/>
              <a:cs typeface="+mn-cs"/>
            </a:rPr>
            <a:t>spent within the area by the different visitor types.  If you divide the visitor days by visitor numbers, you have the </a:t>
          </a:r>
          <a:r>
            <a:rPr lang="en-GB" sz="1000" b="1" i="1" baseline="0">
              <a:solidFill>
                <a:schemeClr val="tx1">
                  <a:lumMod val="50000"/>
                  <a:lumOff val="50000"/>
                </a:schemeClr>
              </a:solidFill>
              <a:effectLst/>
              <a:latin typeface="+mn-lt"/>
              <a:ea typeface="+mn-ea"/>
              <a:cs typeface="+mn-cs"/>
            </a:rPr>
            <a:t>Average Length of Stay</a:t>
          </a:r>
          <a:r>
            <a:rPr lang="en-GB" sz="1000" b="0" i="0" baseline="0">
              <a:solidFill>
                <a:schemeClr val="dk1"/>
              </a:solidFill>
              <a:effectLst/>
              <a:latin typeface="+mn-lt"/>
              <a:ea typeface="+mn-ea"/>
              <a:cs typeface="+mn-cs"/>
            </a:rPr>
            <a:t> for that Visitor Type</a:t>
          </a:r>
          <a:endParaRPr lang="en-GB" sz="1000">
            <a:effectLst/>
          </a:endParaRPr>
        </a:p>
        <a:p>
          <a:endParaRPr lang="en-GB" sz="1100" b="0" i="0" baseline="0"/>
        </a:p>
      </xdr:txBody>
    </xdr:sp>
    <xdr:clientData/>
  </xdr:twoCellAnchor>
  <xdr:twoCellAnchor>
    <xdr:from>
      <xdr:col>4</xdr:col>
      <xdr:colOff>161925</xdr:colOff>
      <xdr:row>10</xdr:row>
      <xdr:rowOff>95248</xdr:rowOff>
    </xdr:from>
    <xdr:to>
      <xdr:col>23</xdr:col>
      <xdr:colOff>200025</xdr:colOff>
      <xdr:row>15</xdr:row>
      <xdr:rowOff>123825</xdr:rowOff>
    </xdr:to>
    <xdr:grpSp>
      <xdr:nvGrpSpPr>
        <xdr:cNvPr id="258052" name="Group 258051">
          <a:extLst>
            <a:ext uri="{FF2B5EF4-FFF2-40B4-BE49-F238E27FC236}">
              <a16:creationId xmlns:a16="http://schemas.microsoft.com/office/drawing/2014/main" id="{00000000-0008-0000-0500-000004F00300}"/>
            </a:ext>
          </a:extLst>
        </xdr:cNvPr>
        <xdr:cNvGrpSpPr/>
      </xdr:nvGrpSpPr>
      <xdr:grpSpPr>
        <a:xfrm>
          <a:off x="1503045" y="2335528"/>
          <a:ext cx="10279380" cy="1057277"/>
          <a:chOff x="1419225" y="2400298"/>
          <a:chExt cx="9944100" cy="1028702"/>
        </a:xfrm>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0500-00002A000000}"/>
                  </a:ext>
                </a:extLst>
              </xdr:cNvPr>
              <xdr:cNvPicPr>
                <a:picLocks noChangeAspect="1" noChangeArrowheads="1"/>
                <a:extLst>
                  <a:ext uri="{84589F7E-364E-4C9E-8A38-B11213B215E9}">
                    <a14:cameraTool cellRange="'ECONOMIC IMPACT'!$E$6:$X$7" spid="_x0000_s258759"/>
                  </a:ext>
                </a:extLst>
              </xdr:cNvPicPr>
            </xdr:nvPicPr>
            <xdr:blipFill>
              <a:blip xmlns:r="http://schemas.openxmlformats.org/officeDocument/2006/relationships" r:embed="rId5"/>
              <a:srcRect/>
              <a:stretch>
                <a:fillRect/>
              </a:stretch>
            </xdr:blipFill>
            <xdr:spPr bwMode="auto">
              <a:xfrm>
                <a:off x="1419225" y="3019426"/>
                <a:ext cx="7753350" cy="305306"/>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258048" name="Line Callout 1 (Border and Accent Bar) 258047">
            <a:extLst>
              <a:ext uri="{FF2B5EF4-FFF2-40B4-BE49-F238E27FC236}">
                <a16:creationId xmlns:a16="http://schemas.microsoft.com/office/drawing/2014/main" id="{00000000-0008-0000-0500-000000F00300}"/>
              </a:ext>
            </a:extLst>
          </xdr:cNvPr>
          <xdr:cNvSpPr/>
        </xdr:nvSpPr>
        <xdr:spPr>
          <a:xfrm>
            <a:off x="10220325" y="2724149"/>
            <a:ext cx="1143000" cy="704851"/>
          </a:xfrm>
          <a:prstGeom prst="accentBorderCallout1">
            <a:avLst>
              <a:gd name="adj1" fmla="val 67613"/>
              <a:gd name="adj2" fmla="val -3138"/>
              <a:gd name="adj3" fmla="val 67595"/>
              <a:gd name="adj4" fmla="val -94296"/>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section</a:t>
            </a:r>
            <a:r>
              <a:rPr lang="en-GB" sz="900" baseline="0"/>
              <a:t> of the report you are viewing</a:t>
            </a:r>
            <a:endParaRPr lang="en-GB" sz="900"/>
          </a:p>
        </xdr:txBody>
      </xdr:sp>
      <xdr:sp macro="" textlink="">
        <xdr:nvSpPr>
          <xdr:cNvPr id="45" name="Line Callout 1 (Border and Accent Bar) 44">
            <a:extLst>
              <a:ext uri="{FF2B5EF4-FFF2-40B4-BE49-F238E27FC236}">
                <a16:creationId xmlns:a16="http://schemas.microsoft.com/office/drawing/2014/main" id="{00000000-0008-0000-0500-00002D000000}"/>
              </a:ext>
            </a:extLst>
          </xdr:cNvPr>
          <xdr:cNvSpPr/>
        </xdr:nvSpPr>
        <xdr:spPr>
          <a:xfrm>
            <a:off x="6210301" y="2400298"/>
            <a:ext cx="1352550" cy="514351"/>
          </a:xfrm>
          <a:prstGeom prst="accentBorderCallout1">
            <a:avLst>
              <a:gd name="adj1" fmla="val 53935"/>
              <a:gd name="adj2" fmla="val -2013"/>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a:t>
            </a:r>
            <a:r>
              <a:rPr lang="en-GB" sz="900" b="1" i="1"/>
              <a:t>Years </a:t>
            </a:r>
            <a:r>
              <a:rPr lang="en-GB" sz="900"/>
              <a:t>shown and</a:t>
            </a:r>
          </a:p>
          <a:p>
            <a:pPr algn="l"/>
            <a:r>
              <a:rPr lang="en-GB" sz="900" b="1" i="1"/>
              <a:t>Indexation</a:t>
            </a:r>
            <a:r>
              <a:rPr lang="en-GB" sz="900" b="1" i="1" baseline="0"/>
              <a:t> </a:t>
            </a:r>
            <a:r>
              <a:rPr lang="en-GB" sz="900" baseline="0"/>
              <a:t>being applied (if applicable)</a:t>
            </a:r>
            <a:endParaRPr lang="en-GB" sz="900"/>
          </a:p>
        </xdr:txBody>
      </xdr:sp>
      <xdr:sp macro="" textlink="">
        <xdr:nvSpPr>
          <xdr:cNvPr id="47" name="Line Callout 1 (Border and Accent Bar) 46">
            <a:extLst>
              <a:ext uri="{FF2B5EF4-FFF2-40B4-BE49-F238E27FC236}">
                <a16:creationId xmlns:a16="http://schemas.microsoft.com/office/drawing/2014/main" id="{00000000-0008-0000-0500-00002F000000}"/>
              </a:ext>
            </a:extLst>
          </xdr:cNvPr>
          <xdr:cNvSpPr/>
        </xdr:nvSpPr>
        <xdr:spPr>
          <a:xfrm>
            <a:off x="2143125" y="2409824"/>
            <a:ext cx="3695700" cy="514351"/>
          </a:xfrm>
          <a:prstGeom prst="accentBorderCallout1">
            <a:avLst>
              <a:gd name="adj1" fmla="val 52083"/>
              <a:gd name="adj2" fmla="val -1117"/>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period covered</a:t>
            </a:r>
            <a:r>
              <a:rPr lang="en-GB" sz="900" baseline="0"/>
              <a:t> by the report</a:t>
            </a:r>
          </a:p>
          <a:p>
            <a:pPr algn="l"/>
            <a:r>
              <a:rPr lang="en-GB" sz="900" baseline="0"/>
              <a:t>The geographical / administrative area covered by the report</a:t>
            </a:r>
            <a:endParaRPr lang="en-GB" sz="900"/>
          </a:p>
        </xdr:txBody>
      </xdr:sp>
    </xdr:grpSp>
    <xdr:clientData/>
  </xdr:twoCellAnchor>
  <xdr:twoCellAnchor>
    <xdr:from>
      <xdr:col>4</xdr:col>
      <xdr:colOff>133350</xdr:colOff>
      <xdr:row>18</xdr:row>
      <xdr:rowOff>104774</xdr:rowOff>
    </xdr:from>
    <xdr:to>
      <xdr:col>23</xdr:col>
      <xdr:colOff>190501</xdr:colOff>
      <xdr:row>25</xdr:row>
      <xdr:rowOff>142875</xdr:rowOff>
    </xdr:to>
    <xdr:grpSp>
      <xdr:nvGrpSpPr>
        <xdr:cNvPr id="258053" name="Group 258052">
          <a:extLst>
            <a:ext uri="{FF2B5EF4-FFF2-40B4-BE49-F238E27FC236}">
              <a16:creationId xmlns:a16="http://schemas.microsoft.com/office/drawing/2014/main" id="{00000000-0008-0000-0500-000005F00300}"/>
            </a:ext>
          </a:extLst>
        </xdr:cNvPr>
        <xdr:cNvGrpSpPr/>
      </xdr:nvGrpSpPr>
      <xdr:grpSpPr>
        <a:xfrm>
          <a:off x="1474470" y="3990974"/>
          <a:ext cx="10298431" cy="1478281"/>
          <a:chOff x="1428750" y="4029074"/>
          <a:chExt cx="9963151" cy="1438276"/>
        </a:xfrm>
      </xdr:grpSpPr>
      <mc:AlternateContent xmlns:mc="http://schemas.openxmlformats.org/markup-compatibility/2006" xmlns:a14="http://schemas.microsoft.com/office/drawing/2010/main">
        <mc:Choice Requires="a14">
          <xdr:pic>
            <xdr:nvPicPr>
              <xdr:cNvPr id="50" name="Picture 49">
                <a:extLst>
                  <a:ext uri="{FF2B5EF4-FFF2-40B4-BE49-F238E27FC236}">
                    <a16:creationId xmlns:a16="http://schemas.microsoft.com/office/drawing/2014/main" id="{00000000-0008-0000-0500-000032000000}"/>
                  </a:ext>
                </a:extLst>
              </xdr:cNvPr>
              <xdr:cNvPicPr>
                <a:picLocks noChangeAspect="1" noChangeArrowheads="1"/>
                <a:extLst>
                  <a:ext uri="{84589F7E-364E-4C9E-8A38-B11213B215E9}">
                    <a14:cameraTool cellRange="'COMPARATIVE HEADLINES'!$E$4:$X$5" spid="_x0000_s258760"/>
                  </a:ext>
                </a:extLst>
              </xdr:cNvPicPr>
            </xdr:nvPicPr>
            <xdr:blipFill>
              <a:blip xmlns:r="http://schemas.openxmlformats.org/officeDocument/2006/relationships" r:embed="rId6"/>
              <a:srcRect/>
              <a:stretch>
                <a:fillRect/>
              </a:stretch>
            </xdr:blipFill>
            <xdr:spPr bwMode="auto">
              <a:xfrm>
                <a:off x="1428750" y="4848225"/>
                <a:ext cx="7753320" cy="50410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52" name="Line Callout 1 (Border and Accent Bar) 51">
            <a:extLst>
              <a:ext uri="{FF2B5EF4-FFF2-40B4-BE49-F238E27FC236}">
                <a16:creationId xmlns:a16="http://schemas.microsoft.com/office/drawing/2014/main" id="{00000000-0008-0000-0500-000034000000}"/>
              </a:ext>
            </a:extLst>
          </xdr:cNvPr>
          <xdr:cNvSpPr/>
        </xdr:nvSpPr>
        <xdr:spPr>
          <a:xfrm>
            <a:off x="2038350" y="4029074"/>
            <a:ext cx="9353549" cy="733426"/>
          </a:xfrm>
          <a:prstGeom prst="accentBorderCallout1">
            <a:avLst>
              <a:gd name="adj1" fmla="val 70698"/>
              <a:gd name="adj2" fmla="val -600"/>
              <a:gd name="adj3" fmla="val 112500"/>
              <a:gd name="adj4" fmla="val -4582"/>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Drop down fields allow you to change the </a:t>
            </a:r>
            <a:r>
              <a:rPr lang="en-GB" sz="900" b="1"/>
              <a:t>Years</a:t>
            </a:r>
            <a:r>
              <a:rPr lang="en-GB" sz="900" b="0" baseline="0"/>
              <a:t> shown in the tables and charts and in some sections of the report allow you to focus on specific </a:t>
            </a:r>
            <a:r>
              <a:rPr lang="en-GB" sz="900" b="1" baseline="0"/>
              <a:t>Visitor Types</a:t>
            </a:r>
            <a:r>
              <a:rPr lang="en-GB" sz="900" b="0" baseline="0"/>
              <a:t>.  Where there is a financial component to the section you are viewing, you will be able to </a:t>
            </a:r>
            <a:r>
              <a:rPr lang="en-GB" sz="900" b="1" baseline="0"/>
              <a:t>Index</a:t>
            </a:r>
            <a:r>
              <a:rPr lang="en-GB" sz="900" b="0" baseline="0"/>
              <a:t> the historic financial data, by applying an inflationary factor based on the most recent report year shown in that report section. Where there is a </a:t>
            </a:r>
            <a:r>
              <a:rPr lang="en-GB" sz="900" b="1" baseline="0"/>
              <a:t>trend</a:t>
            </a:r>
            <a:r>
              <a:rPr lang="en-GB" sz="900" b="0" baseline="0"/>
              <a:t> or comparative element to the section and percentage changes are shown, you have the option to apply </a:t>
            </a:r>
            <a:r>
              <a:rPr lang="en-GB" sz="900" b="1" baseline="0"/>
              <a:t>highlighting</a:t>
            </a:r>
            <a:r>
              <a:rPr lang="en-GB" sz="900" b="0" baseline="0"/>
              <a:t> to those values that are above a certain percentage threshold (+/-3% for example). In the Comparative Headlines section, the </a:t>
            </a:r>
            <a:r>
              <a:rPr lang="en-GB" sz="900" b="1" i="0" baseline="0"/>
              <a:t>Focus Year </a:t>
            </a:r>
            <a:r>
              <a:rPr lang="en-GB" sz="900" b="0" i="0" baseline="0"/>
              <a:t>can be any year from the trend period, the </a:t>
            </a:r>
            <a:r>
              <a:rPr lang="en-GB" sz="900" b="1" i="0" baseline="0"/>
              <a:t>Comparison Year </a:t>
            </a:r>
            <a:r>
              <a:rPr lang="en-GB" sz="900" b="0" i="0" baseline="0"/>
              <a:t>can only be set as a year which is </a:t>
            </a:r>
            <a:r>
              <a:rPr lang="en-GB" sz="900" b="0" i="0" u="sng" baseline="0"/>
              <a:t>earlier</a:t>
            </a:r>
            <a:r>
              <a:rPr lang="en-GB" sz="900" b="0" i="0" baseline="0"/>
              <a:t> than the focus year.</a:t>
            </a:r>
            <a:endParaRPr lang="en-GB" sz="900" b="0" i="0"/>
          </a:p>
        </xdr:txBody>
      </xdr:sp>
      <xdr:sp macro="" textlink="">
        <xdr:nvSpPr>
          <xdr:cNvPr id="54" name="Line Callout 1 (Border and Accent Bar) 53">
            <a:extLst>
              <a:ext uri="{FF2B5EF4-FFF2-40B4-BE49-F238E27FC236}">
                <a16:creationId xmlns:a16="http://schemas.microsoft.com/office/drawing/2014/main" id="{00000000-0008-0000-0500-000036000000}"/>
              </a:ext>
            </a:extLst>
          </xdr:cNvPr>
          <xdr:cNvSpPr/>
        </xdr:nvSpPr>
        <xdr:spPr>
          <a:xfrm>
            <a:off x="9658350" y="4829174"/>
            <a:ext cx="1733551" cy="638176"/>
          </a:xfrm>
          <a:prstGeom prst="accentBorderCallout1">
            <a:avLst>
              <a:gd name="adj1" fmla="val 78451"/>
              <a:gd name="adj2" fmla="val -3388"/>
              <a:gd name="adj3" fmla="val 40291"/>
              <a:gd name="adj4" fmla="val -28602"/>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A link</a:t>
            </a:r>
            <a:r>
              <a:rPr lang="en-GB" sz="900" baseline="0"/>
              <a:t> back to the "Home" page, allowing navigation to each section of the report</a:t>
            </a:r>
            <a:endParaRPr lang="en-GB" sz="900"/>
          </a:p>
        </xdr:txBody>
      </xdr:sp>
    </xdr:grpSp>
    <xdr:clientData/>
  </xdr:twoCellAnchor>
  <xdr:twoCellAnchor>
    <xdr:from>
      <xdr:col>16</xdr:col>
      <xdr:colOff>152400</xdr:colOff>
      <xdr:row>10</xdr:row>
      <xdr:rowOff>95250</xdr:rowOff>
    </xdr:from>
    <xdr:to>
      <xdr:col>20</xdr:col>
      <xdr:colOff>438149</xdr:colOff>
      <xdr:row>13</xdr:row>
      <xdr:rowOff>9526</xdr:rowOff>
    </xdr:to>
    <xdr:sp macro="" textlink="">
      <xdr:nvSpPr>
        <xdr:cNvPr id="58" name="Line Callout 1 (Border and Accent Bar) 57">
          <a:extLst>
            <a:ext uri="{FF2B5EF4-FFF2-40B4-BE49-F238E27FC236}">
              <a16:creationId xmlns:a16="http://schemas.microsoft.com/office/drawing/2014/main" id="{00000000-0008-0000-0500-00003A000000}"/>
            </a:ext>
          </a:extLst>
        </xdr:cNvPr>
        <xdr:cNvSpPr/>
      </xdr:nvSpPr>
      <xdr:spPr>
        <a:xfrm>
          <a:off x="7953375" y="2295525"/>
          <a:ext cx="2228849" cy="514351"/>
        </a:xfrm>
        <a:prstGeom prst="accentBorderCallout1">
          <a:avLst>
            <a:gd name="adj1" fmla="val 53935"/>
            <a:gd name="adj2" fmla="val -2013"/>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a:t>
          </a:r>
          <a:r>
            <a:rPr lang="en-GB" sz="900" b="1" i="1"/>
            <a:t>Visitor Type</a:t>
          </a:r>
          <a:r>
            <a:rPr lang="en-GB" sz="900" b="1" i="1" baseline="0"/>
            <a:t> </a:t>
          </a:r>
          <a:r>
            <a:rPr lang="en-GB" sz="900" baseline="0"/>
            <a:t>being presented. This will change in those report sections with </a:t>
          </a:r>
          <a:r>
            <a:rPr lang="en-GB" sz="900" b="1" i="1" baseline="0">
              <a:solidFill>
                <a:schemeClr val="tx1">
                  <a:lumMod val="50000"/>
                  <a:lumOff val="50000"/>
                </a:schemeClr>
              </a:solidFill>
            </a:rPr>
            <a:t>User Controls</a:t>
          </a:r>
          <a:r>
            <a:rPr lang="en-GB" sz="900" b="0" i="0" baseline="0"/>
            <a:t> relating to Visitor Type (Excel File)</a:t>
          </a:r>
          <a:endParaRPr lang="en-GB" sz="9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33130</xdr:colOff>
      <xdr:row>20</xdr:row>
      <xdr:rowOff>30480</xdr:rowOff>
    </xdr:from>
    <xdr:to>
      <xdr:col>8</xdr:col>
      <xdr:colOff>465365</xdr:colOff>
      <xdr:row>23</xdr:row>
      <xdr:rowOff>295275</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91441</xdr:colOff>
      <xdr:row>1</xdr:row>
      <xdr:rowOff>106680</xdr:rowOff>
    </xdr:from>
    <xdr:to>
      <xdr:col>4</xdr:col>
      <xdr:colOff>358141</xdr:colOff>
      <xdr:row>2</xdr:row>
      <xdr:rowOff>260040</xdr:rowOff>
    </xdr:to>
    <xdr:pic>
      <xdr:nvPicPr>
        <xdr:cNvPr id="5" name="Picture 4" descr="logovvsm.jpg">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6" name="TextBox 5">
          <a:extLst>
            <a:ext uri="{FF2B5EF4-FFF2-40B4-BE49-F238E27FC236}">
              <a16:creationId xmlns:a16="http://schemas.microsoft.com/office/drawing/2014/main" id="{00000000-0008-0000-0600-000006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45719</xdr:colOff>
      <xdr:row>25</xdr:row>
      <xdr:rowOff>38101</xdr:rowOff>
    </xdr:from>
    <xdr:to>
      <xdr:col>8</xdr:col>
      <xdr:colOff>403860</xdr:colOff>
      <xdr:row>35</xdr:row>
      <xdr:rowOff>22861</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a:extLst>
            <a:ext uri="{FF2B5EF4-FFF2-40B4-BE49-F238E27FC236}">
              <a16:creationId xmlns:a16="http://schemas.microsoft.com/office/drawing/2014/main" id="{00000000-0008-0000-0600-000008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4" tooltip="Home - Navigation Page"/>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350520</xdr:colOff>
      <xdr:row>25</xdr:row>
      <xdr:rowOff>0</xdr:rowOff>
    </xdr:from>
    <xdr:to>
      <xdr:col>23</xdr:col>
      <xdr:colOff>464819</xdr:colOff>
      <xdr:row>33</xdr:row>
      <xdr:rowOff>198120</xdr:rowOff>
    </xdr:to>
    <xdr:graphicFrame macro="">
      <xdr:nvGraphicFramePr>
        <xdr:cNvPr id="10" name="Chart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20</xdr:row>
      <xdr:rowOff>0</xdr:rowOff>
    </xdr:from>
    <xdr:to>
      <xdr:col>11</xdr:col>
      <xdr:colOff>432235</xdr:colOff>
      <xdr:row>23</xdr:row>
      <xdr:rowOff>289125</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20</xdr:row>
      <xdr:rowOff>0</xdr:rowOff>
    </xdr:from>
    <xdr:to>
      <xdr:col>14</xdr:col>
      <xdr:colOff>432235</xdr:colOff>
      <xdr:row>23</xdr:row>
      <xdr:rowOff>289125</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20</xdr:row>
      <xdr:rowOff>0</xdr:rowOff>
    </xdr:from>
    <xdr:to>
      <xdr:col>17</xdr:col>
      <xdr:colOff>432235</xdr:colOff>
      <xdr:row>23</xdr:row>
      <xdr:rowOff>289125</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20</xdr:row>
      <xdr:rowOff>0</xdr:rowOff>
    </xdr:from>
    <xdr:to>
      <xdr:col>20</xdr:col>
      <xdr:colOff>432235</xdr:colOff>
      <xdr:row>23</xdr:row>
      <xdr:rowOff>289125</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20</xdr:row>
      <xdr:rowOff>0</xdr:rowOff>
    </xdr:from>
    <xdr:to>
      <xdr:col>23</xdr:col>
      <xdr:colOff>432235</xdr:colOff>
      <xdr:row>23</xdr:row>
      <xdr:rowOff>289125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320040</xdr:colOff>
      <xdr:row>3</xdr:row>
      <xdr:rowOff>331471</xdr:rowOff>
    </xdr:from>
    <xdr:to>
      <xdr:col>16</xdr:col>
      <xdr:colOff>154080</xdr:colOff>
      <xdr:row>4</xdr:row>
      <xdr:rowOff>325696</xdr:rowOff>
    </xdr:to>
    <xdr:sp macro="" textlink="">
      <xdr:nvSpPr>
        <xdr:cNvPr id="22" name="Rectangle 21">
          <a:extLst>
            <a:ext uri="{FF2B5EF4-FFF2-40B4-BE49-F238E27FC236}">
              <a16:creationId xmlns:a16="http://schemas.microsoft.com/office/drawing/2014/main" id="{00000000-0008-0000-0600-000016000000}"/>
            </a:ext>
          </a:extLst>
        </xdr:cNvPr>
        <xdr:cNvSpPr/>
      </xdr:nvSpPr>
      <xdr:spPr>
        <a:xfrm>
          <a:off x="6463665" y="864871"/>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1242060</xdr:colOff>
      <xdr:row>3</xdr:row>
      <xdr:rowOff>304801</xdr:rowOff>
    </xdr:from>
    <xdr:to>
      <xdr:col>7</xdr:col>
      <xdr:colOff>22860</xdr:colOff>
      <xdr:row>4</xdr:row>
      <xdr:rowOff>329521</xdr:rowOff>
    </xdr:to>
    <xdr:sp macro="" textlink="">
      <xdr:nvSpPr>
        <xdr:cNvPr id="23" name="Rectangle 22">
          <a:extLst>
            <a:ext uri="{FF2B5EF4-FFF2-40B4-BE49-F238E27FC236}">
              <a16:creationId xmlns:a16="http://schemas.microsoft.com/office/drawing/2014/main" id="{00000000-0008-0000-0600-000017000000}"/>
            </a:ext>
          </a:extLst>
        </xdr:cNvPr>
        <xdr:cNvSpPr/>
      </xdr:nvSpPr>
      <xdr:spPr>
        <a:xfrm>
          <a:off x="2583180" y="845821"/>
          <a:ext cx="94488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COMPARISON</a:t>
          </a:r>
        </a:p>
        <a:p>
          <a:pPr algn="ctr"/>
          <a:r>
            <a:rPr lang="en-GB" sz="900" b="1">
              <a:solidFill>
                <a:schemeClr val="bg1"/>
              </a:solidFill>
            </a:rPr>
            <a:t>YEAR</a:t>
          </a:r>
          <a:endParaRPr lang="en-GB" sz="900" b="1" baseline="0">
            <a:solidFill>
              <a:schemeClr val="bg1"/>
            </a:solidFill>
          </a:endParaRPr>
        </a:p>
      </xdr:txBody>
    </xdr:sp>
    <xdr:clientData fPrintsWithSheet="0"/>
  </xdr:twoCellAnchor>
  <xdr:twoCellAnchor>
    <xdr:from>
      <xdr:col>17</xdr:col>
      <xdr:colOff>289560</xdr:colOff>
      <xdr:row>3</xdr:row>
      <xdr:rowOff>304801</xdr:rowOff>
    </xdr:from>
    <xdr:to>
      <xdr:col>21</xdr:col>
      <xdr:colOff>199800</xdr:colOff>
      <xdr:row>4</xdr:row>
      <xdr:rowOff>329521</xdr:rowOff>
    </xdr:to>
    <xdr:sp macro="" textlink="">
      <xdr:nvSpPr>
        <xdr:cNvPr id="24" name="Rectangle 23">
          <a:extLst>
            <a:ext uri="{FF2B5EF4-FFF2-40B4-BE49-F238E27FC236}">
              <a16:creationId xmlns:a16="http://schemas.microsoft.com/office/drawing/2014/main" id="{00000000-0008-0000-0600-000018000000}"/>
            </a:ext>
          </a:extLst>
        </xdr:cNvPr>
        <xdr:cNvSpPr/>
      </xdr:nvSpPr>
      <xdr:spPr>
        <a:xfrm>
          <a:off x="851916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190500</xdr:colOff>
          <xdr:row>4</xdr:row>
          <xdr:rowOff>22860</xdr:rowOff>
        </xdr:from>
        <xdr:to>
          <xdr:col>22</xdr:col>
          <xdr:colOff>274320</xdr:colOff>
          <xdr:row>4</xdr:row>
          <xdr:rowOff>297180</xdr:rowOff>
        </xdr:to>
        <xdr:sp macro="" textlink="">
          <xdr:nvSpPr>
            <xdr:cNvPr id="109573" name="Drop Down 5" hidden="1">
              <a:extLst>
                <a:ext uri="{63B3BB69-23CF-44E3-9099-C40C66FF867C}">
                  <a14:compatExt spid="_x0000_s109573"/>
                </a:ext>
                <a:ext uri="{FF2B5EF4-FFF2-40B4-BE49-F238E27FC236}">
                  <a16:creationId xmlns:a16="http://schemas.microsoft.com/office/drawing/2014/main" id="{00000000-0008-0000-0600-000005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426720</xdr:colOff>
          <xdr:row>4</xdr:row>
          <xdr:rowOff>22860</xdr:rowOff>
        </xdr:from>
        <xdr:to>
          <xdr:col>8</xdr:col>
          <xdr:colOff>144780</xdr:colOff>
          <xdr:row>4</xdr:row>
          <xdr:rowOff>297180</xdr:rowOff>
        </xdr:to>
        <xdr:sp macro="" textlink="">
          <xdr:nvSpPr>
            <xdr:cNvPr id="109574" name="Drop Down 6" hidden="1">
              <a:extLst>
                <a:ext uri="{63B3BB69-23CF-44E3-9099-C40C66FF867C}">
                  <a14:compatExt spid="_x0000_s109574"/>
                </a:ext>
                <a:ext uri="{FF2B5EF4-FFF2-40B4-BE49-F238E27FC236}">
                  <a16:creationId xmlns:a16="http://schemas.microsoft.com/office/drawing/2014/main" id="{00000000-0008-0000-0600-000006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83820</xdr:colOff>
          <xdr:row>4</xdr:row>
          <xdr:rowOff>22860</xdr:rowOff>
        </xdr:from>
        <xdr:to>
          <xdr:col>17</xdr:col>
          <xdr:colOff>297180</xdr:colOff>
          <xdr:row>4</xdr:row>
          <xdr:rowOff>297180</xdr:rowOff>
        </xdr:to>
        <xdr:sp macro="" textlink="">
          <xdr:nvSpPr>
            <xdr:cNvPr id="109575" name="Drop Down 7" hidden="1">
              <a:extLst>
                <a:ext uri="{63B3BB69-23CF-44E3-9099-C40C66FF867C}">
                  <a14:compatExt spid="_x0000_s109575"/>
                </a:ext>
                <a:ext uri="{FF2B5EF4-FFF2-40B4-BE49-F238E27FC236}">
                  <a16:creationId xmlns:a16="http://schemas.microsoft.com/office/drawing/2014/main" id="{00000000-0008-0000-0600-000007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22860</xdr:colOff>
      <xdr:row>4</xdr:row>
      <xdr:rowOff>0</xdr:rowOff>
    </xdr:from>
    <xdr:to>
      <xdr:col>4</xdr:col>
      <xdr:colOff>586740</xdr:colOff>
      <xdr:row>4</xdr:row>
      <xdr:rowOff>327660</xdr:rowOff>
    </xdr:to>
    <xdr:sp macro="" textlink="">
      <xdr:nvSpPr>
        <xdr:cNvPr id="28" name="Rectangle 27">
          <a:extLst>
            <a:ext uri="{FF2B5EF4-FFF2-40B4-BE49-F238E27FC236}">
              <a16:creationId xmlns:a16="http://schemas.microsoft.com/office/drawing/2014/main" id="{00000000-0008-0000-0600-00001C000000}"/>
            </a:ext>
          </a:extLst>
        </xdr:cNvPr>
        <xdr:cNvSpPr/>
      </xdr:nvSpPr>
      <xdr:spPr>
        <a:xfrm>
          <a:off x="1363980" y="876300"/>
          <a:ext cx="563880" cy="327660"/>
        </a:xfrm>
        <a:prstGeom prst="rect">
          <a:avLst/>
        </a:prstGeom>
        <a:solidFill>
          <a:schemeClr val="tx2"/>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FOCUS</a:t>
          </a:r>
        </a:p>
        <a:p>
          <a:pPr algn="ctr"/>
          <a:r>
            <a:rPr lang="en-GB" sz="900" b="1" baseline="0">
              <a:solidFill>
                <a:schemeClr val="bg1"/>
              </a:solidFill>
            </a:rPr>
            <a:t>YEAR</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609600</xdr:colOff>
          <xdr:row>4</xdr:row>
          <xdr:rowOff>22860</xdr:rowOff>
        </xdr:from>
        <xdr:to>
          <xdr:col>5</xdr:col>
          <xdr:colOff>0</xdr:colOff>
          <xdr:row>4</xdr:row>
          <xdr:rowOff>297180</xdr:rowOff>
        </xdr:to>
        <xdr:sp macro="" textlink="">
          <xdr:nvSpPr>
            <xdr:cNvPr id="109576" name="Drop Down 8" hidden="1">
              <a:extLst>
                <a:ext uri="{63B3BB69-23CF-44E3-9099-C40C66FF867C}">
                  <a14:compatExt spid="_x0000_s109576"/>
                </a:ext>
                <a:ext uri="{FF2B5EF4-FFF2-40B4-BE49-F238E27FC236}">
                  <a16:creationId xmlns:a16="http://schemas.microsoft.com/office/drawing/2014/main" id="{00000000-0008-0000-0600-000008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259080</xdr:colOff>
      <xdr:row>1</xdr:row>
      <xdr:rowOff>99060</xdr:rowOff>
    </xdr:from>
    <xdr:to>
      <xdr:col>22</xdr:col>
      <xdr:colOff>205740</xdr:colOff>
      <xdr:row>2</xdr:row>
      <xdr:rowOff>198120</xdr:rowOff>
    </xdr:to>
    <xdr:sp macro="" textlink="">
      <xdr:nvSpPr>
        <xdr:cNvPr id="25" name="Rectangle 24">
          <a:extLst>
            <a:ext uri="{FF2B5EF4-FFF2-40B4-BE49-F238E27FC236}">
              <a16:creationId xmlns:a16="http://schemas.microsoft.com/office/drawing/2014/main" id="{00000000-0008-0000-0600-000019000000}"/>
            </a:ext>
          </a:extLst>
        </xdr:cNvPr>
        <xdr:cNvSpPr/>
      </xdr:nvSpPr>
      <xdr:spPr>
        <a:xfrm>
          <a:off x="3764280" y="9906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255270</xdr:colOff>
      <xdr:row>2</xdr:row>
      <xdr:rowOff>19050</xdr:rowOff>
    </xdr:from>
    <xdr:to>
      <xdr:col>23</xdr:col>
      <xdr:colOff>213360</xdr:colOff>
      <xdr:row>2</xdr:row>
      <xdr:rowOff>289560</xdr:rowOff>
    </xdr:to>
    <xdr:sp macro="" textlink="">
      <xdr:nvSpPr>
        <xdr:cNvPr id="26" name="Bent Arrow 25">
          <a:extLst>
            <a:ext uri="{FF2B5EF4-FFF2-40B4-BE49-F238E27FC236}">
              <a16:creationId xmlns:a16="http://schemas.microsoft.com/office/drawing/2014/main" id="{00000000-0008-0000-0600-00001A000000}"/>
            </a:ext>
          </a:extLst>
        </xdr:cNvPr>
        <xdr:cNvSpPr/>
      </xdr:nvSpPr>
      <xdr:spPr>
        <a:xfrm rot="5400000">
          <a:off x="10927080" y="14478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304800</xdr:colOff>
      <xdr:row>4</xdr:row>
      <xdr:rowOff>0</xdr:rowOff>
    </xdr:from>
    <xdr:to>
      <xdr:col>16</xdr:col>
      <xdr:colOff>138840</xdr:colOff>
      <xdr:row>4</xdr:row>
      <xdr:rowOff>327600</xdr:rowOff>
    </xdr:to>
    <xdr:sp macro="" textlink="">
      <xdr:nvSpPr>
        <xdr:cNvPr id="33" name="Rectangle 32">
          <a:extLst>
            <a:ext uri="{FF2B5EF4-FFF2-40B4-BE49-F238E27FC236}">
              <a16:creationId xmlns:a16="http://schemas.microsoft.com/office/drawing/2014/main" id="{00000000-0008-0000-0700-000021000000}"/>
            </a:ext>
          </a:extLst>
        </xdr:cNvPr>
        <xdr:cNvSpPr/>
      </xdr:nvSpPr>
      <xdr:spPr>
        <a:xfrm>
          <a:off x="6448425" y="866775"/>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7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7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4</xdr:col>
      <xdr:colOff>30480</xdr:colOff>
      <xdr:row>9</xdr:row>
      <xdr:rowOff>38100</xdr:rowOff>
    </xdr:from>
    <xdr:to>
      <xdr:col>13</xdr:col>
      <xdr:colOff>457200</xdr:colOff>
      <xdr:row>18</xdr:row>
      <xdr:rowOff>166440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39266" name="Drop Down 2" hidden="1">
              <a:extLst>
                <a:ext uri="{63B3BB69-23CF-44E3-9099-C40C66FF867C}">
                  <a14:compatExt spid="_x0000_s139266"/>
                </a:ext>
                <a:ext uri="{FF2B5EF4-FFF2-40B4-BE49-F238E27FC236}">
                  <a16:creationId xmlns:a16="http://schemas.microsoft.com/office/drawing/2014/main" id="{00000000-0008-0000-0700-000002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4" name="Rectangle 13">
          <a:extLst>
            <a:ext uri="{FF2B5EF4-FFF2-40B4-BE49-F238E27FC236}">
              <a16:creationId xmlns:a16="http://schemas.microsoft.com/office/drawing/2014/main" id="{00000000-0008-0000-0700-00000E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39267" name="Drop Down 3" hidden="1">
              <a:extLst>
                <a:ext uri="{63B3BB69-23CF-44E3-9099-C40C66FF867C}">
                  <a14:compatExt spid="_x0000_s139267"/>
                </a:ext>
                <a:ext uri="{FF2B5EF4-FFF2-40B4-BE49-F238E27FC236}">
                  <a16:creationId xmlns:a16="http://schemas.microsoft.com/office/drawing/2014/main" id="{00000000-0008-0000-0700-000003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6" name="Rectangle 15">
          <a:extLst>
            <a:ext uri="{FF2B5EF4-FFF2-40B4-BE49-F238E27FC236}">
              <a16:creationId xmlns:a16="http://schemas.microsoft.com/office/drawing/2014/main" id="{00000000-0008-0000-0700-000010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a:extLst>
            <a:ext uri="{FF2B5EF4-FFF2-40B4-BE49-F238E27FC236}">
              <a16:creationId xmlns:a16="http://schemas.microsoft.com/office/drawing/2014/main" id="{00000000-0008-0000-0700-000011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18" name="TextBox 17">
          <a:extLst>
            <a:ext uri="{FF2B5EF4-FFF2-40B4-BE49-F238E27FC236}">
              <a16:creationId xmlns:a16="http://schemas.microsoft.com/office/drawing/2014/main" id="{00000000-0008-0000-0700-000012000000}"/>
            </a:ext>
          </a:extLst>
        </xdr:cNvPr>
        <xdr:cNvSpPr txBox="1"/>
      </xdr:nvSpPr>
      <xdr:spPr>
        <a:xfrm>
          <a:off x="8742045" y="6069329"/>
          <a:ext cx="306704" cy="1619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14</xdr:col>
      <xdr:colOff>22860</xdr:colOff>
      <xdr:row>9</xdr:row>
      <xdr:rowOff>38100</xdr:rowOff>
    </xdr:from>
    <xdr:to>
      <xdr:col>23</xdr:col>
      <xdr:colOff>403860</xdr:colOff>
      <xdr:row>18</xdr:row>
      <xdr:rowOff>166440</xdr:rowOff>
    </xdr:to>
    <xdr:graphicFrame macro="">
      <xdr:nvGraphicFramePr>
        <xdr:cNvPr id="20" name="Chart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30480</xdr:colOff>
      <xdr:row>21</xdr:row>
      <xdr:rowOff>38100</xdr:rowOff>
    </xdr:from>
    <xdr:to>
      <xdr:col>13</xdr:col>
      <xdr:colOff>457200</xdr:colOff>
      <xdr:row>30</xdr:row>
      <xdr:rowOff>166440</xdr:rowOff>
    </xdr:to>
    <xdr:graphicFrame macro="">
      <xdr:nvGraphicFramePr>
        <xdr:cNvPr id="22" name="Chart 21">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30480</xdr:colOff>
      <xdr:row>21</xdr:row>
      <xdr:rowOff>38100</xdr:rowOff>
    </xdr:from>
    <xdr:to>
      <xdr:col>23</xdr:col>
      <xdr:colOff>411480</xdr:colOff>
      <xdr:row>30</xdr:row>
      <xdr:rowOff>166440</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22860</xdr:colOff>
          <xdr:row>9</xdr:row>
          <xdr:rowOff>53340</xdr:rowOff>
        </xdr:from>
        <xdr:to>
          <xdr:col>4</xdr:col>
          <xdr:colOff>495177</xdr:colOff>
          <xdr:row>18</xdr:row>
          <xdr:rowOff>2029</xdr:rowOff>
        </xdr:to>
        <xdr:pic>
          <xdr:nvPicPr>
            <xdr:cNvPr id="25" name="Picture 24">
              <a:extLst>
                <a:ext uri="{FF2B5EF4-FFF2-40B4-BE49-F238E27FC236}">
                  <a16:creationId xmlns:a16="http://schemas.microsoft.com/office/drawing/2014/main" id="{00000000-0008-0000-0700-000019000000}"/>
                </a:ext>
              </a:extLst>
            </xdr:cNvPr>
            <xdr:cNvPicPr>
              <a:picLocks noChangeAspect="1" noChangeArrowheads="1"/>
              <a:extLst>
                <a:ext uri="{84589F7E-364E-4C9E-8A38-B11213B215E9}">
                  <a14:cameraTool cellRange="'ECONOMIC IMPACT'!$E$17:$E$27" spid="_x0000_s408885"/>
                </a:ext>
              </a:extLst>
            </xdr:cNvPicPr>
          </xdr:nvPicPr>
          <xdr:blipFill rotWithShape="1">
            <a:blip xmlns:r="http://schemas.openxmlformats.org/officeDocument/2006/relationships" r:embed="rId8"/>
            <a:srcRect l="60695" r="-5005"/>
            <a:stretch>
              <a:fillRect/>
            </a:stretch>
          </xdr:blipFill>
          <xdr:spPr bwMode="auto">
            <a:xfrm>
              <a:off x="1363980" y="208788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xdr:row>
          <xdr:rowOff>53339</xdr:rowOff>
        </xdr:from>
        <xdr:to>
          <xdr:col>4</xdr:col>
          <xdr:colOff>792480</xdr:colOff>
          <xdr:row>17</xdr:row>
          <xdr:rowOff>196030</xdr:rowOff>
        </xdr:to>
        <xdr:pic>
          <xdr:nvPicPr>
            <xdr:cNvPr id="26" name="Picture 25">
              <a:extLst>
                <a:ext uri="{FF2B5EF4-FFF2-40B4-BE49-F238E27FC236}">
                  <a16:creationId xmlns:a16="http://schemas.microsoft.com/office/drawing/2014/main" id="{00000000-0008-0000-0700-00001A000000}"/>
                </a:ext>
              </a:extLst>
            </xdr:cNvPr>
            <xdr:cNvPicPr>
              <a:picLocks noChangeAspect="1" noChangeArrowheads="1"/>
              <a:extLst>
                <a:ext uri="{84589F7E-364E-4C9E-8A38-B11213B215E9}">
                  <a14:cameraTool cellRange="'ECONOMIC IMPACT'!$T$17:$T$27" spid="_x0000_s408886"/>
                </a:ext>
              </a:extLst>
            </xdr:cNvPicPr>
          </xdr:nvPicPr>
          <xdr:blipFill>
            <a:blip xmlns:r="http://schemas.openxmlformats.org/officeDocument/2006/relationships" r:embed="rId9"/>
            <a:srcRect/>
            <a:stretch>
              <a:fillRect/>
            </a:stretch>
          </xdr:blipFill>
          <xdr:spPr bwMode="auto">
            <a:xfrm>
              <a:off x="1760220" y="2087879"/>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3</xdr:col>
      <xdr:colOff>327660</xdr:colOff>
      <xdr:row>8</xdr:row>
      <xdr:rowOff>15686</xdr:rowOff>
    </xdr:from>
    <xdr:ext cx="800100" cy="250453"/>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1333500" y="184448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xdr:twoCellAnchor>
    <xdr:from>
      <xdr:col>17</xdr:col>
      <xdr:colOff>297180</xdr:colOff>
      <xdr:row>3</xdr:row>
      <xdr:rowOff>297180</xdr:rowOff>
    </xdr:from>
    <xdr:to>
      <xdr:col>21</xdr:col>
      <xdr:colOff>207420</xdr:colOff>
      <xdr:row>4</xdr:row>
      <xdr:rowOff>321900</xdr:rowOff>
    </xdr:to>
    <xdr:sp macro="" textlink="">
      <xdr:nvSpPr>
        <xdr:cNvPr id="31" name="Rectangle 30">
          <a:extLst>
            <a:ext uri="{FF2B5EF4-FFF2-40B4-BE49-F238E27FC236}">
              <a16:creationId xmlns:a16="http://schemas.microsoft.com/office/drawing/2014/main" id="{00000000-0008-0000-0700-00001F000000}"/>
            </a:ext>
          </a:extLst>
        </xdr:cNvPr>
        <xdr:cNvSpPr/>
      </xdr:nvSpPr>
      <xdr:spPr>
        <a:xfrm>
          <a:off x="8526780" y="838200"/>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198120</xdr:colOff>
          <xdr:row>4</xdr:row>
          <xdr:rowOff>22860</xdr:rowOff>
        </xdr:from>
        <xdr:to>
          <xdr:col>22</xdr:col>
          <xdr:colOff>289560</xdr:colOff>
          <xdr:row>4</xdr:row>
          <xdr:rowOff>289560</xdr:rowOff>
        </xdr:to>
        <xdr:sp macro="" textlink="">
          <xdr:nvSpPr>
            <xdr:cNvPr id="139270" name="Drop Down 6" hidden="1">
              <a:extLst>
                <a:ext uri="{63B3BB69-23CF-44E3-9099-C40C66FF867C}">
                  <a14:compatExt spid="_x0000_s139270"/>
                </a:ext>
                <a:ext uri="{FF2B5EF4-FFF2-40B4-BE49-F238E27FC236}">
                  <a16:creationId xmlns:a16="http://schemas.microsoft.com/office/drawing/2014/main" id="{00000000-0008-0000-0700-000006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9</xdr:row>
          <xdr:rowOff>38100</xdr:rowOff>
        </xdr:from>
        <xdr:to>
          <xdr:col>15</xdr:col>
          <xdr:colOff>1782</xdr:colOff>
          <xdr:row>17</xdr:row>
          <xdr:rowOff>186814</xdr:rowOff>
        </xdr:to>
        <xdr:pic>
          <xdr:nvPicPr>
            <xdr:cNvPr id="32" name="Picture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VISITOR NUMBERS'!$E$17:$E$27" spid="_x0000_s408887"/>
                </a:ext>
              </a:extLst>
            </xdr:cNvPicPr>
          </xdr:nvPicPr>
          <xdr:blipFill rotWithShape="1">
            <a:blip xmlns:r="http://schemas.openxmlformats.org/officeDocument/2006/relationships" r:embed="rId8"/>
            <a:srcRect l="60695" r="-5005"/>
            <a:stretch>
              <a:fillRect/>
            </a:stretch>
          </xdr:blipFill>
          <xdr:spPr bwMode="auto">
            <a:xfrm>
              <a:off x="6842760" y="207264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407670</xdr:colOff>
          <xdr:row>9</xdr:row>
          <xdr:rowOff>38099</xdr:rowOff>
        </xdr:from>
        <xdr:to>
          <xdr:col>15</xdr:col>
          <xdr:colOff>280035</xdr:colOff>
          <xdr:row>17</xdr:row>
          <xdr:rowOff>180790</xdr:rowOff>
        </xdr:to>
        <xdr:pic>
          <xdr:nvPicPr>
            <xdr:cNvPr id="39" name="Picture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VISITOR NUMBERS'!$T$17:$T$27" spid="_x0000_s408888"/>
                </a:ext>
              </a:extLst>
            </xdr:cNvPicPr>
          </xdr:nvPicPr>
          <xdr:blipFill>
            <a:blip xmlns:r="http://schemas.openxmlformats.org/officeDocument/2006/relationships" r:embed="rId10"/>
            <a:srcRect/>
            <a:stretch>
              <a:fillRect/>
            </a:stretch>
          </xdr:blipFill>
          <xdr:spPr bwMode="auto">
            <a:xfrm>
              <a:off x="7008495" y="2038349"/>
              <a:ext cx="358140" cy="174289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14</xdr:col>
      <xdr:colOff>0</xdr:colOff>
      <xdr:row>8</xdr:row>
      <xdr:rowOff>446</xdr:rowOff>
    </xdr:from>
    <xdr:ext cx="800100" cy="250453"/>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6812280" y="182924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mc:AlternateContent xmlns:mc="http://schemas.openxmlformats.org/markup-compatibility/2006">
    <mc:Choice xmlns:a14="http://schemas.microsoft.com/office/drawing/2010/main" Requires="a14">
      <xdr:twoCellAnchor editAs="oneCell">
        <xdr:from>
          <xdr:col>4</xdr:col>
          <xdr:colOff>45720</xdr:colOff>
          <xdr:row>21</xdr:row>
          <xdr:rowOff>38100</xdr:rowOff>
        </xdr:from>
        <xdr:to>
          <xdr:col>4</xdr:col>
          <xdr:colOff>518037</xdr:colOff>
          <xdr:row>29</xdr:row>
          <xdr:rowOff>186814</xdr:rowOff>
        </xdr:to>
        <xdr:pic>
          <xdr:nvPicPr>
            <xdr:cNvPr id="41" name="Picture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VISITOR DAYS'!$E$17:$E$27" spid="_x0000_s408889"/>
                </a:ext>
              </a:extLst>
            </xdr:cNvPicPr>
          </xdr:nvPicPr>
          <xdr:blipFill rotWithShape="1">
            <a:blip xmlns:r="http://schemas.openxmlformats.org/officeDocument/2006/relationships" r:embed="rId8"/>
            <a:srcRect l="60695" r="-5005"/>
            <a:stretch>
              <a:fillRect/>
            </a:stretch>
          </xdr:blipFill>
          <xdr:spPr bwMode="auto">
            <a:xfrm>
              <a:off x="1386840" y="433578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21</xdr:row>
          <xdr:rowOff>38099</xdr:rowOff>
        </xdr:from>
        <xdr:to>
          <xdr:col>4</xdr:col>
          <xdr:colOff>815340</xdr:colOff>
          <xdr:row>29</xdr:row>
          <xdr:rowOff>180790</xdr:rowOff>
        </xdr:to>
        <xdr:pic>
          <xdr:nvPicPr>
            <xdr:cNvPr id="42" name="Picture 41">
              <a:extLst>
                <a:ext uri="{FF2B5EF4-FFF2-40B4-BE49-F238E27FC236}">
                  <a16:creationId xmlns:a16="http://schemas.microsoft.com/office/drawing/2014/main" id="{00000000-0008-0000-0700-00002A000000}"/>
                </a:ext>
              </a:extLst>
            </xdr:cNvPr>
            <xdr:cNvPicPr>
              <a:picLocks noChangeAspect="1" noChangeArrowheads="1"/>
              <a:extLst>
                <a:ext uri="{84589F7E-364E-4C9E-8A38-B11213B215E9}">
                  <a14:cameraTool cellRange="'VISITOR DAYS'!$T$17:$T$27" spid="_x0000_s408890"/>
                </a:ext>
              </a:extLst>
            </xdr:cNvPicPr>
          </xdr:nvPicPr>
          <xdr:blipFill>
            <a:blip xmlns:r="http://schemas.openxmlformats.org/officeDocument/2006/relationships" r:embed="rId11"/>
            <a:srcRect/>
            <a:stretch>
              <a:fillRect/>
            </a:stretch>
          </xdr:blipFill>
          <xdr:spPr bwMode="auto">
            <a:xfrm>
              <a:off x="1783080" y="4335779"/>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4</xdr:col>
      <xdr:colOff>15240</xdr:colOff>
      <xdr:row>20</xdr:row>
      <xdr:rowOff>446</xdr:rowOff>
    </xdr:from>
    <xdr:ext cx="800100" cy="250453"/>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1356360" y="409238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mc:AlternateContent xmlns:mc="http://schemas.openxmlformats.org/markup-compatibility/2006">
    <mc:Choice xmlns:a14="http://schemas.microsoft.com/office/drawing/2010/main" Requires="a14">
      <xdr:twoCellAnchor editAs="oneCell">
        <xdr:from>
          <xdr:col>14</xdr:col>
          <xdr:colOff>68580</xdr:colOff>
          <xdr:row>21</xdr:row>
          <xdr:rowOff>37654</xdr:rowOff>
        </xdr:from>
        <xdr:to>
          <xdr:col>15</xdr:col>
          <xdr:colOff>39882</xdr:colOff>
          <xdr:row>29</xdr:row>
          <xdr:rowOff>186368</xdr:rowOff>
        </xdr:to>
        <xdr:pic>
          <xdr:nvPicPr>
            <xdr:cNvPr id="44" name="Picture 43">
              <a:extLst>
                <a:ext uri="{FF2B5EF4-FFF2-40B4-BE49-F238E27FC236}">
                  <a16:creationId xmlns:a16="http://schemas.microsoft.com/office/drawing/2014/main" id="{00000000-0008-0000-0700-00002C000000}"/>
                </a:ext>
              </a:extLst>
            </xdr:cNvPr>
            <xdr:cNvPicPr>
              <a:picLocks noChangeAspect="1" noChangeArrowheads="1"/>
              <a:extLst>
                <a:ext uri="{84589F7E-364E-4C9E-8A38-B11213B215E9}">
                  <a14:cameraTool cellRange="EMPLOYMENT!$E$17:$E$27" spid="_x0000_s408891"/>
                </a:ext>
              </a:extLst>
            </xdr:cNvPicPr>
          </xdr:nvPicPr>
          <xdr:blipFill rotWithShape="1">
            <a:blip xmlns:r="http://schemas.openxmlformats.org/officeDocument/2006/relationships" r:embed="rId8"/>
            <a:srcRect l="60695" r="-5005"/>
            <a:stretch>
              <a:fillRect/>
            </a:stretch>
          </xdr:blipFill>
          <xdr:spPr bwMode="auto">
            <a:xfrm>
              <a:off x="6880860" y="4335334"/>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464820</xdr:colOff>
          <xdr:row>21</xdr:row>
          <xdr:rowOff>37653</xdr:rowOff>
        </xdr:from>
        <xdr:to>
          <xdr:col>15</xdr:col>
          <xdr:colOff>346710</xdr:colOff>
          <xdr:row>29</xdr:row>
          <xdr:rowOff>180344</xdr:rowOff>
        </xdr:to>
        <xdr:pic>
          <xdr:nvPicPr>
            <xdr:cNvPr id="45" name="Picture 44">
              <a:extLst>
                <a:ext uri="{FF2B5EF4-FFF2-40B4-BE49-F238E27FC236}">
                  <a16:creationId xmlns:a16="http://schemas.microsoft.com/office/drawing/2014/main" id="{00000000-0008-0000-0700-00002D000000}"/>
                </a:ext>
              </a:extLst>
            </xdr:cNvPr>
            <xdr:cNvPicPr>
              <a:picLocks noChangeAspect="1" noChangeArrowheads="1"/>
              <a:extLst>
                <a:ext uri="{84589F7E-364E-4C9E-8A38-B11213B215E9}">
                  <a14:cameraTool cellRange="EMPLOYMENT!$T$17:$T$27" spid="_x0000_s408892"/>
                </a:ext>
              </a:extLst>
            </xdr:cNvPicPr>
          </xdr:nvPicPr>
          <xdr:blipFill>
            <a:blip xmlns:r="http://schemas.openxmlformats.org/officeDocument/2006/relationships" r:embed="rId12"/>
            <a:srcRect/>
            <a:stretch>
              <a:fillRect/>
            </a:stretch>
          </xdr:blipFill>
          <xdr:spPr bwMode="auto">
            <a:xfrm>
              <a:off x="7277100" y="4335333"/>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14</xdr:col>
      <xdr:colOff>38100</xdr:colOff>
      <xdr:row>20</xdr:row>
      <xdr:rowOff>0</xdr:rowOff>
    </xdr:from>
    <xdr:ext cx="800100" cy="250453"/>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6850380" y="4091940"/>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34" name="Rectangle 33">
          <a:extLst>
            <a:ext uri="{FF2B5EF4-FFF2-40B4-BE49-F238E27FC236}">
              <a16:creationId xmlns:a16="http://schemas.microsoft.com/office/drawing/2014/main" id="{00000000-0008-0000-0800-000022000000}"/>
            </a:ext>
          </a:extLst>
        </xdr:cNvPr>
        <xdr:cNvSpPr/>
      </xdr:nvSpPr>
      <xdr:spPr>
        <a:xfrm>
          <a:off x="5972175" y="1019175"/>
          <a:ext cx="16818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2" name="Rectangle 1">
          <a:extLst>
            <a:ext uri="{FF2B5EF4-FFF2-40B4-BE49-F238E27FC236}">
              <a16:creationId xmlns:a16="http://schemas.microsoft.com/office/drawing/2014/main" id="{00000000-0008-0000-0800-000002000000}"/>
            </a:ext>
          </a:extLst>
        </xdr:cNvPr>
        <xdr:cNvSpPr/>
      </xdr:nvSpPr>
      <xdr:spPr>
        <a:xfrm>
          <a:off x="5972175" y="866776"/>
          <a:ext cx="16818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2022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0800-000004000000}"/>
            </a:ext>
          </a:extLst>
        </xdr:cNvPr>
        <xdr:cNvSpPr txBox="1"/>
      </xdr:nvSpPr>
      <xdr:spPr>
        <a:xfrm>
          <a:off x="1699260" y="99060"/>
          <a:ext cx="1952625"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1356360" y="548640"/>
          <a:ext cx="8490585"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5784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88417" name="Drop Down 1" hidden="1">
              <a:extLst>
                <a:ext uri="{63B3BB69-23CF-44E3-9099-C40C66FF867C}">
                  <a14:compatExt spid="_x0000_s188417"/>
                </a:ext>
                <a:ext uri="{FF2B5EF4-FFF2-40B4-BE49-F238E27FC236}">
                  <a16:creationId xmlns:a16="http://schemas.microsoft.com/office/drawing/2014/main" id="{00000000-0008-0000-0800-00000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1" name="Rectangle 10">
          <a:extLst>
            <a:ext uri="{FF2B5EF4-FFF2-40B4-BE49-F238E27FC236}">
              <a16:creationId xmlns:a16="http://schemas.microsoft.com/office/drawing/2014/main" id="{00000000-0008-0000-0800-00000B000000}"/>
            </a:ext>
          </a:extLst>
        </xdr:cNvPr>
        <xdr:cNvSpPr/>
      </xdr:nvSpPr>
      <xdr:spPr>
        <a:xfrm>
          <a:off x="3636645" y="91440"/>
          <a:ext cx="6804660"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a:extLst>
            <a:ext uri="{FF2B5EF4-FFF2-40B4-BE49-F238E27FC236}">
              <a16:creationId xmlns:a16="http://schemas.microsoft.com/office/drawing/2014/main" id="{00000000-0008-0000-0800-00000C000000}"/>
            </a:ext>
          </a:extLst>
        </xdr:cNvPr>
        <xdr:cNvSpPr/>
      </xdr:nvSpPr>
      <xdr:spPr>
        <a:xfrm rot="5400000">
          <a:off x="10563225" y="139065"/>
          <a:ext cx="270510" cy="41529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27</xdr:row>
      <xdr:rowOff>125729</xdr:rowOff>
    </xdr:from>
    <xdr:to>
      <xdr:col>18</xdr:col>
      <xdr:colOff>346709</xdr:colOff>
      <xdr:row>28</xdr:row>
      <xdr:rowOff>81915</xdr:rowOff>
    </xdr:to>
    <xdr:sp macro="" textlink="$F$30">
      <xdr:nvSpPr>
        <xdr:cNvPr id="13" name="TextBox 12">
          <a:extLst>
            <a:ext uri="{FF2B5EF4-FFF2-40B4-BE49-F238E27FC236}">
              <a16:creationId xmlns:a16="http://schemas.microsoft.com/office/drawing/2014/main" id="{00000000-0008-0000-0800-00000D000000}"/>
            </a:ext>
          </a:extLst>
        </xdr:cNvPr>
        <xdr:cNvSpPr txBox="1"/>
      </xdr:nvSpPr>
      <xdr:spPr>
        <a:xfrm>
          <a:off x="84696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31" name="Rectangle 30">
          <a:extLst>
            <a:ext uri="{FF2B5EF4-FFF2-40B4-BE49-F238E27FC236}">
              <a16:creationId xmlns:a16="http://schemas.microsoft.com/office/drawing/2014/main" id="{00000000-0008-0000-0800-00001F000000}"/>
            </a:ext>
          </a:extLst>
        </xdr:cNvPr>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335280</xdr:colOff>
          <xdr:row>4</xdr:row>
          <xdr:rowOff>22860</xdr:rowOff>
        </xdr:from>
        <xdr:to>
          <xdr:col>7</xdr:col>
          <xdr:colOff>198120</xdr:colOff>
          <xdr:row>4</xdr:row>
          <xdr:rowOff>297180</xdr:rowOff>
        </xdr:to>
        <xdr:sp macro="" textlink="">
          <xdr:nvSpPr>
            <xdr:cNvPr id="188420" name="Drop Down 4" hidden="1">
              <a:extLst>
                <a:ext uri="{63B3BB69-23CF-44E3-9099-C40C66FF867C}">
                  <a14:compatExt spid="_x0000_s188420"/>
                </a:ext>
                <a:ext uri="{FF2B5EF4-FFF2-40B4-BE49-F238E27FC236}">
                  <a16:creationId xmlns:a16="http://schemas.microsoft.com/office/drawing/2014/main" id="{00000000-0008-0000-0800-00000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76200</xdr:colOff>
      <xdr:row>8</xdr:row>
      <xdr:rowOff>0</xdr:rowOff>
    </xdr:from>
    <xdr:to>
      <xdr:col>6</xdr:col>
      <xdr:colOff>142875</xdr:colOff>
      <xdr:row>11</xdr:row>
      <xdr:rowOff>142875</xdr:rowOff>
    </xdr:to>
    <xdr:sp macro="" textlink="G17">
      <xdr:nvSpPr>
        <xdr:cNvPr id="21" name="TextBox 20">
          <a:extLst>
            <a:ext uri="{FF2B5EF4-FFF2-40B4-BE49-F238E27FC236}">
              <a16:creationId xmlns:a16="http://schemas.microsoft.com/office/drawing/2014/main" id="{00000000-0008-0000-0800-000015000000}"/>
            </a:ext>
          </a:extLst>
        </xdr:cNvPr>
        <xdr:cNvSpPr txBox="1"/>
      </xdr:nvSpPr>
      <xdr:spPr>
        <a:xfrm>
          <a:off x="1371600" y="1800225"/>
          <a:ext cx="17145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724554B-7309-4F1F-8241-5B7A45B67123}" type="TxLink">
            <a:rPr lang="en-US" sz="1800" b="1" i="0" u="none" strike="noStrike">
              <a:solidFill>
                <a:schemeClr val="accent1"/>
              </a:solidFill>
              <a:latin typeface="Calibri"/>
            </a:rPr>
            <a:pPr/>
            <a:t>TOTAL
£4,158.13m</a:t>
          </a:fld>
          <a:endParaRPr lang="en-GB" sz="1800" b="1">
            <a:solidFill>
              <a:schemeClr val="accent1"/>
            </a:solidFill>
          </a:endParaRPr>
        </a:p>
      </xdr:txBody>
    </xdr:sp>
    <xdr:clientData/>
  </xdr:twoCellAnchor>
  <xdr:twoCellAnchor>
    <xdr:from>
      <xdr:col>14</xdr:col>
      <xdr:colOff>28575</xdr:colOff>
      <xdr:row>7</xdr:row>
      <xdr:rowOff>180974</xdr:rowOff>
    </xdr:from>
    <xdr:to>
      <xdr:col>17</xdr:col>
      <xdr:colOff>371475</xdr:colOff>
      <xdr:row>11</xdr:row>
      <xdr:rowOff>123914</xdr:rowOff>
    </xdr:to>
    <xdr:sp macro="" textlink="I17">
      <xdr:nvSpPr>
        <xdr:cNvPr id="48" name="TextBox 47">
          <a:extLst>
            <a:ext uri="{FF2B5EF4-FFF2-40B4-BE49-F238E27FC236}">
              <a16:creationId xmlns:a16="http://schemas.microsoft.com/office/drawing/2014/main" id="{00000000-0008-0000-0800-000030000000}"/>
            </a:ext>
          </a:extLst>
        </xdr:cNvPr>
        <xdr:cNvSpPr txBox="1"/>
      </xdr:nvSpPr>
      <xdr:spPr>
        <a:xfrm>
          <a:off x="6629400" y="1781174"/>
          <a:ext cx="1714500" cy="74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773CCC2-388F-4951-AC62-41FFFC941D2D}" type="TxLink">
            <a:rPr lang="en-US" sz="1800" b="1" i="0" u="none" strike="noStrike">
              <a:solidFill>
                <a:srgbClr val="00B050"/>
              </a:solidFill>
              <a:latin typeface="Calibri"/>
            </a:rPr>
            <a:pPr/>
            <a:t>TOTAL
30.96m</a:t>
          </a:fld>
          <a:endParaRPr lang="en-GB" sz="1800" b="1">
            <a:solidFill>
              <a:srgbClr val="00B050"/>
            </a:solidFill>
          </a:endParaRPr>
        </a:p>
      </xdr:txBody>
    </xdr:sp>
    <xdr:clientData/>
  </xdr:twoCellAnchor>
  <xdr:twoCellAnchor>
    <xdr:from>
      <xdr:col>4</xdr:col>
      <xdr:colOff>38100</xdr:colOff>
      <xdr:row>22</xdr:row>
      <xdr:rowOff>200024</xdr:rowOff>
    </xdr:from>
    <xdr:to>
      <xdr:col>6</xdr:col>
      <xdr:colOff>104775</xdr:colOff>
      <xdr:row>26</xdr:row>
      <xdr:rowOff>142964</xdr:rowOff>
    </xdr:to>
    <xdr:sp macro="" textlink="H17">
      <xdr:nvSpPr>
        <xdr:cNvPr id="49" name="TextBox 48">
          <a:extLst>
            <a:ext uri="{FF2B5EF4-FFF2-40B4-BE49-F238E27FC236}">
              <a16:creationId xmlns:a16="http://schemas.microsoft.com/office/drawing/2014/main" id="{00000000-0008-0000-0800-000031000000}"/>
            </a:ext>
          </a:extLst>
        </xdr:cNvPr>
        <xdr:cNvSpPr txBox="1"/>
      </xdr:nvSpPr>
      <xdr:spPr>
        <a:xfrm>
          <a:off x="1333500" y="4600574"/>
          <a:ext cx="1714500" cy="74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A469B2E-A753-4740-9A44-6133D51FAB36}" type="TxLink">
            <a:rPr lang="en-US" sz="1800" b="1" i="0" u="none" strike="noStrike">
              <a:solidFill>
                <a:srgbClr val="FF0000"/>
              </a:solidFill>
              <a:latin typeface="Calibri"/>
            </a:rPr>
            <a:pPr/>
            <a:t>TOTAL
69.98m</a:t>
          </a:fld>
          <a:endParaRPr lang="en-GB" sz="1800" b="1">
            <a:solidFill>
              <a:srgbClr val="FF0000"/>
            </a:solidFill>
          </a:endParaRPr>
        </a:p>
      </xdr:txBody>
    </xdr:sp>
    <xdr:clientData/>
  </xdr:twoCellAnchor>
  <xdr:twoCellAnchor>
    <xdr:from>
      <xdr:col>14</xdr:col>
      <xdr:colOff>28574</xdr:colOff>
      <xdr:row>22</xdr:row>
      <xdr:rowOff>180974</xdr:rowOff>
    </xdr:from>
    <xdr:to>
      <xdr:col>18</xdr:col>
      <xdr:colOff>380999</xdr:colOff>
      <xdr:row>27</xdr:row>
      <xdr:rowOff>123825</xdr:rowOff>
    </xdr:to>
    <xdr:sp macro="" textlink="J17">
      <xdr:nvSpPr>
        <xdr:cNvPr id="50" name="TextBox 49">
          <a:extLst>
            <a:ext uri="{FF2B5EF4-FFF2-40B4-BE49-F238E27FC236}">
              <a16:creationId xmlns:a16="http://schemas.microsoft.com/office/drawing/2014/main" id="{00000000-0008-0000-0800-000032000000}"/>
            </a:ext>
          </a:extLst>
        </xdr:cNvPr>
        <xdr:cNvSpPr txBox="1"/>
      </xdr:nvSpPr>
      <xdr:spPr>
        <a:xfrm>
          <a:off x="6629399" y="4781549"/>
          <a:ext cx="2181225" cy="942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71E001D-D595-4CEF-9B29-E08A4ACEB953}" type="TxLink">
            <a:rPr lang="en-US" sz="1800" b="1" i="0" u="none" strike="noStrike">
              <a:solidFill>
                <a:schemeClr val="accent6"/>
              </a:solidFill>
              <a:latin typeface="Calibri"/>
            </a:rPr>
            <a:pPr/>
            <a:t>TOTAL
36,065 Direct FTEs
45,201 Total FTEs</a:t>
          </a:fld>
          <a:endParaRPr lang="en-GB" sz="1800" b="1">
            <a:solidFill>
              <a:schemeClr val="accent6"/>
            </a:solidFill>
          </a:endParaRPr>
        </a:p>
      </xdr:txBody>
    </xdr:sp>
    <xdr:clientData/>
  </xdr:twoCellAnchor>
  <xdr:twoCellAnchor>
    <xdr:from>
      <xdr:col>16</xdr:col>
      <xdr:colOff>195571</xdr:colOff>
      <xdr:row>8</xdr:row>
      <xdr:rowOff>180975</xdr:rowOff>
    </xdr:from>
    <xdr:to>
      <xdr:col>21</xdr:col>
      <xdr:colOff>321594</xdr:colOff>
      <xdr:row>22</xdr:row>
      <xdr:rowOff>31062</xdr:rowOff>
    </xdr:to>
    <xdr:graphicFrame macro="">
      <xdr:nvGraphicFramePr>
        <xdr:cNvPr id="61" name="Chart 60">
          <a:extLst>
            <a:ext uri="{FF2B5EF4-FFF2-40B4-BE49-F238E27FC236}">
              <a16:creationId xmlns:a16="http://schemas.microsoft.com/office/drawing/2014/main" id="{00000000-0008-0000-08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19050</xdr:colOff>
      <xdr:row>8</xdr:row>
      <xdr:rowOff>152399</xdr:rowOff>
    </xdr:from>
    <xdr:to>
      <xdr:col>12</xdr:col>
      <xdr:colOff>180976</xdr:colOff>
      <xdr:row>21</xdr:row>
      <xdr:rowOff>104775</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1360170" y="1981199"/>
          <a:ext cx="4871086" cy="2626996"/>
          <a:chOff x="1323975" y="2219324"/>
          <a:chExt cx="4552951" cy="2552701"/>
        </a:xfrm>
      </xdr:grpSpPr>
      <xdr:grpSp>
        <xdr:nvGrpSpPr>
          <xdr:cNvPr id="17" name="Group 16">
            <a:extLst>
              <a:ext uri="{FF2B5EF4-FFF2-40B4-BE49-F238E27FC236}">
                <a16:creationId xmlns:a16="http://schemas.microsoft.com/office/drawing/2014/main" id="{00000000-0008-0000-0800-000011000000}"/>
              </a:ext>
            </a:extLst>
          </xdr:cNvPr>
          <xdr:cNvGrpSpPr/>
        </xdr:nvGrpSpPr>
        <xdr:grpSpPr>
          <a:xfrm>
            <a:off x="2895600" y="2219324"/>
            <a:ext cx="2981326" cy="2552701"/>
            <a:chOff x="2895600" y="2219324"/>
            <a:chExt cx="2981326" cy="2552701"/>
          </a:xfrm>
        </xdr:grpSpPr>
        <xdr:graphicFrame macro="">
          <xdr:nvGraphicFramePr>
            <xdr:cNvPr id="9" name="Chart 8">
              <a:extLst>
                <a:ext uri="{FF2B5EF4-FFF2-40B4-BE49-F238E27FC236}">
                  <a16:creationId xmlns:a16="http://schemas.microsoft.com/office/drawing/2014/main" id="{00000000-0008-0000-0800-000009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41" name="Chart 40">
              <a:extLst>
                <a:ext uri="{FF2B5EF4-FFF2-40B4-BE49-F238E27FC236}">
                  <a16:creationId xmlns:a16="http://schemas.microsoft.com/office/drawing/2014/main" id="{00000000-0008-0000-0800-000029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6"/>
            </a:graphicData>
          </a:graphic>
        </xdr:graphicFrame>
      </xdr:grpSp>
      <mc:AlternateContent xmlns:mc="http://schemas.openxmlformats.org/markup-compatibility/2006">
        <mc:Choice xmlns:a14="http://schemas.microsoft.com/office/drawing/2010/main" Requires="a14">
          <xdr:grpSp>
            <xdr:nvGrpSpPr>
              <xdr:cNvPr id="19" name="Group 18">
                <a:extLst>
                  <a:ext uri="{FF2B5EF4-FFF2-40B4-BE49-F238E27FC236}">
                    <a16:creationId xmlns:a16="http://schemas.microsoft.com/office/drawing/2014/main" id="{00000000-0008-0000-0800-000013000000}"/>
                  </a:ext>
                </a:extLst>
              </xdr:cNvPr>
              <xdr:cNvGrpSpPr/>
            </xdr:nvGrpSpPr>
            <xdr:grpSpPr>
              <a:xfrm>
                <a:off x="1323975" y="3171825"/>
                <a:ext cx="1304925" cy="1409700"/>
                <a:chOff x="1333500" y="6267450"/>
                <a:chExt cx="1304925" cy="1409700"/>
              </a:xfrm>
            </xdr:grpSpPr>
            <xdr:pic>
              <xdr:nvPicPr>
                <xdr:cNvPr id="103" name="Picture 102">
                  <a:extLst>
                    <a:ext uri="{FF2B5EF4-FFF2-40B4-BE49-F238E27FC236}">
                      <a16:creationId xmlns:a16="http://schemas.microsoft.com/office/drawing/2014/main" id="{00000000-0008-0000-0800-000067000000}"/>
                    </a:ext>
                  </a:extLst>
                </xdr:cNvPr>
                <xdr:cNvPicPr>
                  <a:picLocks noChangeAspect="1" noChangeArrowheads="1"/>
                  <a:extLst>
                    <a:ext uri="{84589F7E-364E-4C9E-8A38-B11213B215E9}">
                      <a14:cameraTool cellRange="$E$77:$E$83" spid="_x0000_s376588"/>
                    </a:ext>
                  </a:extLst>
                </xdr:cNvPicPr>
              </xdr:nvPicPr>
              <xdr:blipFill>
                <a:blip xmlns:r="http://schemas.openxmlformats.org/officeDocument/2006/relationships" r:embed="rId7"/>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04" name="Picture 103">
                  <a:extLst>
                    <a:ext uri="{FF2B5EF4-FFF2-40B4-BE49-F238E27FC236}">
                      <a16:creationId xmlns:a16="http://schemas.microsoft.com/office/drawing/2014/main" id="{00000000-0008-0000-0800-000068000000}"/>
                    </a:ext>
                  </a:extLst>
                </xdr:cNvPr>
                <xdr:cNvPicPr>
                  <a:picLocks noChangeAspect="1" noChangeArrowheads="1"/>
                  <a:extLst>
                    <a:ext uri="{84589F7E-364E-4C9E-8A38-B11213B215E9}">
                      <a14:cameraTool cellRange="$G$77:$G$83" spid="_x0000_s376589"/>
                    </a:ext>
                  </a:extLst>
                </xdr:cNvPicPr>
              </xdr:nvPicPr>
              <xdr:blipFill>
                <a:blip xmlns:r="http://schemas.openxmlformats.org/officeDocument/2006/relationships" r:embed="rId8"/>
                <a:srcRect/>
                <a:stretch>
                  <a:fillRect/>
                </a:stretch>
              </xdr:blipFill>
              <xdr:spPr bwMode="auto">
                <a:xfrm>
                  <a:off x="2152650" y="6267450"/>
                  <a:ext cx="466725" cy="1409700"/>
                </a:xfrm>
                <a:prstGeom prst="rect">
                  <a:avLst/>
                </a:prstGeom>
                <a:solidFill>
                  <a:srgbClr val="FFFFFF" mc:Ignorable="a14" a14:legacySpreadsheetColorIndex="9"/>
                </a:solidFill>
                <a:ln w="25400">
                  <a:solidFill>
                    <a:schemeClr val="accent1"/>
                  </a:solidFill>
                  <a:miter lim="800000"/>
                  <a:headEnd/>
                  <a:tailEnd/>
                </a:ln>
                <a:effectLst/>
              </xdr:spPr>
            </xdr:pic>
          </xdr:grpSp>
        </mc:Choice>
        <mc:Fallback/>
      </mc:AlternateContent>
    </xdr:grpSp>
    <xdr:clientData/>
  </xdr:twoCellAnchor>
  <xdr:twoCellAnchor>
    <xdr:from>
      <xdr:col>14</xdr:col>
      <xdr:colOff>28575</xdr:colOff>
      <xdr:row>8</xdr:row>
      <xdr:rowOff>142874</xdr:rowOff>
    </xdr:from>
    <xdr:to>
      <xdr:col>24</xdr:col>
      <xdr:colOff>9526</xdr:colOff>
      <xdr:row>21</xdr:row>
      <xdr:rowOff>95250</xdr:rowOff>
    </xdr:to>
    <xdr:grpSp>
      <xdr:nvGrpSpPr>
        <xdr:cNvPr id="116" name="Group 115">
          <a:extLst>
            <a:ext uri="{FF2B5EF4-FFF2-40B4-BE49-F238E27FC236}">
              <a16:creationId xmlns:a16="http://schemas.microsoft.com/office/drawing/2014/main" id="{00000000-0008-0000-0800-000074000000}"/>
            </a:ext>
          </a:extLst>
        </xdr:cNvPr>
        <xdr:cNvGrpSpPr/>
      </xdr:nvGrpSpPr>
      <xdr:grpSpPr>
        <a:xfrm>
          <a:off x="7084695" y="1971674"/>
          <a:ext cx="5010151" cy="2626996"/>
          <a:chOff x="1323975" y="2219324"/>
          <a:chExt cx="4552951" cy="2552701"/>
        </a:xfrm>
      </xdr:grpSpPr>
      <xdr:grpSp>
        <xdr:nvGrpSpPr>
          <xdr:cNvPr id="117" name="Group 116">
            <a:extLst>
              <a:ext uri="{FF2B5EF4-FFF2-40B4-BE49-F238E27FC236}">
                <a16:creationId xmlns:a16="http://schemas.microsoft.com/office/drawing/2014/main" id="{00000000-0008-0000-0800-000075000000}"/>
              </a:ext>
            </a:extLst>
          </xdr:cNvPr>
          <xdr:cNvGrpSpPr/>
        </xdr:nvGrpSpPr>
        <xdr:grpSpPr>
          <a:xfrm>
            <a:off x="2895600" y="2219324"/>
            <a:ext cx="2981326" cy="2552701"/>
            <a:chOff x="2895600" y="2219324"/>
            <a:chExt cx="2981326" cy="2552701"/>
          </a:xfrm>
        </xdr:grpSpPr>
        <xdr:graphicFrame macro="">
          <xdr:nvGraphicFramePr>
            <xdr:cNvPr id="121" name="Chart 120">
              <a:extLst>
                <a:ext uri="{FF2B5EF4-FFF2-40B4-BE49-F238E27FC236}">
                  <a16:creationId xmlns:a16="http://schemas.microsoft.com/office/drawing/2014/main" id="{00000000-0008-0000-0800-000079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2" name="Chart 121">
              <a:extLst>
                <a:ext uri="{FF2B5EF4-FFF2-40B4-BE49-F238E27FC236}">
                  <a16:creationId xmlns:a16="http://schemas.microsoft.com/office/drawing/2014/main" id="{00000000-0008-0000-0800-00007A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0"/>
            </a:graphicData>
          </a:graphic>
        </xdr:graphicFrame>
      </xdr:grpSp>
      <mc:AlternateContent xmlns:mc="http://schemas.openxmlformats.org/markup-compatibility/2006">
        <mc:Choice xmlns:a14="http://schemas.microsoft.com/office/drawing/2010/main" Requires="a14">
          <xdr:grpSp>
            <xdr:nvGrpSpPr>
              <xdr:cNvPr id="118" name="Group 117">
                <a:extLst>
                  <a:ext uri="{FF2B5EF4-FFF2-40B4-BE49-F238E27FC236}">
                    <a16:creationId xmlns:a16="http://schemas.microsoft.com/office/drawing/2014/main" id="{00000000-0008-0000-0800-000076000000}"/>
                  </a:ext>
                </a:extLst>
              </xdr:cNvPr>
              <xdr:cNvGrpSpPr/>
            </xdr:nvGrpSpPr>
            <xdr:grpSpPr>
              <a:xfrm>
                <a:off x="1323975" y="3171825"/>
                <a:ext cx="1304925" cy="1409700"/>
                <a:chOff x="1333500" y="6267450"/>
                <a:chExt cx="1304925" cy="1409700"/>
              </a:xfrm>
            </xdr:grpSpPr>
            <xdr:pic>
              <xdr:nvPicPr>
                <xdr:cNvPr id="119" name="Picture 118">
                  <a:extLst>
                    <a:ext uri="{FF2B5EF4-FFF2-40B4-BE49-F238E27FC236}">
                      <a16:creationId xmlns:a16="http://schemas.microsoft.com/office/drawing/2014/main" id="{00000000-0008-0000-0800-000077000000}"/>
                    </a:ext>
                  </a:extLst>
                </xdr:cNvPr>
                <xdr:cNvPicPr>
                  <a:picLocks noChangeAspect="1" noChangeArrowheads="1"/>
                  <a:extLst>
                    <a:ext uri="{84589F7E-364E-4C9E-8A38-B11213B215E9}">
                      <a14:cameraTool cellRange="$E$77:$E$83" spid="_x0000_s376590"/>
                    </a:ext>
                  </a:extLst>
                </xdr:cNvPicPr>
              </xdr:nvPicPr>
              <xdr:blipFill>
                <a:blip xmlns:r="http://schemas.openxmlformats.org/officeDocument/2006/relationships" r:embed="rId11"/>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20" name="Picture 119">
                  <a:extLst>
                    <a:ext uri="{FF2B5EF4-FFF2-40B4-BE49-F238E27FC236}">
                      <a16:creationId xmlns:a16="http://schemas.microsoft.com/office/drawing/2014/main" id="{00000000-0008-0000-0800-000078000000}"/>
                    </a:ext>
                  </a:extLst>
                </xdr:cNvPr>
                <xdr:cNvPicPr>
                  <a:picLocks noChangeAspect="1" noChangeArrowheads="1"/>
                  <a:extLst>
                    <a:ext uri="{84589F7E-364E-4C9E-8A38-B11213B215E9}">
                      <a14:cameraTool cellRange="$I$77:$I$83" spid="_x0000_s376591"/>
                    </a:ext>
                  </a:extLst>
                </xdr:cNvPicPr>
              </xdr:nvPicPr>
              <xdr:blipFill>
                <a:blip xmlns:r="http://schemas.openxmlformats.org/officeDocument/2006/relationships" r:embed="rId12"/>
                <a:srcRect/>
                <a:stretch>
                  <a:fillRect/>
                </a:stretch>
              </xdr:blipFill>
              <xdr:spPr bwMode="auto">
                <a:xfrm>
                  <a:off x="2152650" y="6267450"/>
                  <a:ext cx="466725" cy="1409700"/>
                </a:xfrm>
                <a:prstGeom prst="rect">
                  <a:avLst/>
                </a:prstGeom>
                <a:solidFill>
                  <a:srgbClr val="FFFFFF" mc:Ignorable="a14" a14:legacySpreadsheetColorIndex="9"/>
                </a:solidFill>
                <a:ln w="25400">
                  <a:solidFill>
                    <a:srgbClr val="00B050"/>
                  </a:solidFill>
                  <a:miter lim="800000"/>
                  <a:headEnd/>
                  <a:tailEnd/>
                </a:ln>
                <a:effectLst/>
              </xdr:spPr>
            </xdr:pic>
          </xdr:grpSp>
        </mc:Choice>
        <mc:Fallback/>
      </mc:AlternateContent>
    </xdr:grpSp>
    <xdr:clientData/>
  </xdr:twoCellAnchor>
  <xdr:twoCellAnchor>
    <xdr:from>
      <xdr:col>4</xdr:col>
      <xdr:colOff>28575</xdr:colOff>
      <xdr:row>23</xdr:row>
      <xdr:rowOff>161925</xdr:rowOff>
    </xdr:from>
    <xdr:to>
      <xdr:col>12</xdr:col>
      <xdr:colOff>190501</xdr:colOff>
      <xdr:row>36</xdr:row>
      <xdr:rowOff>114301</xdr:rowOff>
    </xdr:to>
    <xdr:grpSp>
      <xdr:nvGrpSpPr>
        <xdr:cNvPr id="131" name="Group 130">
          <a:extLst>
            <a:ext uri="{FF2B5EF4-FFF2-40B4-BE49-F238E27FC236}">
              <a16:creationId xmlns:a16="http://schemas.microsoft.com/office/drawing/2014/main" id="{00000000-0008-0000-0800-000083000000}"/>
            </a:ext>
          </a:extLst>
        </xdr:cNvPr>
        <xdr:cNvGrpSpPr/>
      </xdr:nvGrpSpPr>
      <xdr:grpSpPr>
        <a:xfrm>
          <a:off x="1369695" y="5076825"/>
          <a:ext cx="4871086" cy="2626996"/>
          <a:chOff x="1323975" y="2219324"/>
          <a:chExt cx="4552951" cy="2552701"/>
        </a:xfrm>
      </xdr:grpSpPr>
      <xdr:grpSp>
        <xdr:nvGrpSpPr>
          <xdr:cNvPr id="132" name="Group 131">
            <a:extLst>
              <a:ext uri="{FF2B5EF4-FFF2-40B4-BE49-F238E27FC236}">
                <a16:creationId xmlns:a16="http://schemas.microsoft.com/office/drawing/2014/main" id="{00000000-0008-0000-0800-000084000000}"/>
              </a:ext>
            </a:extLst>
          </xdr:cNvPr>
          <xdr:cNvGrpSpPr/>
        </xdr:nvGrpSpPr>
        <xdr:grpSpPr>
          <a:xfrm>
            <a:off x="2895600" y="2219324"/>
            <a:ext cx="2981326" cy="2552701"/>
            <a:chOff x="2895600" y="2219324"/>
            <a:chExt cx="2981326" cy="2552701"/>
          </a:xfrm>
        </xdr:grpSpPr>
        <xdr:graphicFrame macro="">
          <xdr:nvGraphicFramePr>
            <xdr:cNvPr id="136" name="Chart 135">
              <a:extLst>
                <a:ext uri="{FF2B5EF4-FFF2-40B4-BE49-F238E27FC236}">
                  <a16:creationId xmlns:a16="http://schemas.microsoft.com/office/drawing/2014/main" id="{00000000-0008-0000-0800-000088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37" name="Chart 136">
              <a:extLst>
                <a:ext uri="{FF2B5EF4-FFF2-40B4-BE49-F238E27FC236}">
                  <a16:creationId xmlns:a16="http://schemas.microsoft.com/office/drawing/2014/main" id="{00000000-0008-0000-0800-000089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4"/>
            </a:graphicData>
          </a:graphic>
        </xdr:graphicFrame>
      </xdr:grpSp>
      <mc:AlternateContent xmlns:mc="http://schemas.openxmlformats.org/markup-compatibility/2006">
        <mc:Choice xmlns:a14="http://schemas.microsoft.com/office/drawing/2010/main" Requires="a14">
          <xdr:grpSp>
            <xdr:nvGrpSpPr>
              <xdr:cNvPr id="133" name="Group 132">
                <a:extLst>
                  <a:ext uri="{FF2B5EF4-FFF2-40B4-BE49-F238E27FC236}">
                    <a16:creationId xmlns:a16="http://schemas.microsoft.com/office/drawing/2014/main" id="{00000000-0008-0000-0800-000085000000}"/>
                  </a:ext>
                </a:extLst>
              </xdr:cNvPr>
              <xdr:cNvGrpSpPr/>
            </xdr:nvGrpSpPr>
            <xdr:grpSpPr>
              <a:xfrm>
                <a:off x="1323975" y="3171825"/>
                <a:ext cx="1304925" cy="1409700"/>
                <a:chOff x="1333500" y="6267450"/>
                <a:chExt cx="1304925" cy="1409700"/>
              </a:xfrm>
            </xdr:grpSpPr>
            <xdr:pic>
              <xdr:nvPicPr>
                <xdr:cNvPr id="134" name="Picture 133">
                  <a:extLst>
                    <a:ext uri="{FF2B5EF4-FFF2-40B4-BE49-F238E27FC236}">
                      <a16:creationId xmlns:a16="http://schemas.microsoft.com/office/drawing/2014/main" id="{00000000-0008-0000-0800-000086000000}"/>
                    </a:ext>
                  </a:extLst>
                </xdr:cNvPr>
                <xdr:cNvPicPr>
                  <a:picLocks noChangeAspect="1" noChangeArrowheads="1"/>
                  <a:extLst>
                    <a:ext uri="{84589F7E-364E-4C9E-8A38-B11213B215E9}">
                      <a14:cameraTool cellRange="$E$77:$E$83" spid="_x0000_s376592"/>
                    </a:ext>
                  </a:extLst>
                </xdr:cNvPicPr>
              </xdr:nvPicPr>
              <xdr:blipFill>
                <a:blip xmlns:r="http://schemas.openxmlformats.org/officeDocument/2006/relationships" r:embed="rId15"/>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35" name="Picture 134">
                  <a:extLst>
                    <a:ext uri="{FF2B5EF4-FFF2-40B4-BE49-F238E27FC236}">
                      <a16:creationId xmlns:a16="http://schemas.microsoft.com/office/drawing/2014/main" id="{00000000-0008-0000-0800-000087000000}"/>
                    </a:ext>
                  </a:extLst>
                </xdr:cNvPr>
                <xdr:cNvPicPr>
                  <a:picLocks noChangeAspect="1" noChangeArrowheads="1"/>
                  <a:extLst>
                    <a:ext uri="{84589F7E-364E-4C9E-8A38-B11213B215E9}">
                      <a14:cameraTool cellRange="$H$77:$H$83" spid="_x0000_s376593"/>
                    </a:ext>
                  </a:extLst>
                </xdr:cNvPicPr>
              </xdr:nvPicPr>
              <xdr:blipFill>
                <a:blip xmlns:r="http://schemas.openxmlformats.org/officeDocument/2006/relationships" r:embed="rId16"/>
                <a:srcRect/>
                <a:stretch>
                  <a:fillRect/>
                </a:stretch>
              </xdr:blipFill>
              <xdr:spPr bwMode="auto">
                <a:xfrm>
                  <a:off x="2152650" y="6267450"/>
                  <a:ext cx="466725" cy="1409700"/>
                </a:xfrm>
                <a:prstGeom prst="rect">
                  <a:avLst/>
                </a:prstGeom>
                <a:solidFill>
                  <a:srgbClr val="FFFFFF" mc:Ignorable="a14" a14:legacySpreadsheetColorIndex="9"/>
                </a:solidFill>
                <a:ln w="25400">
                  <a:solidFill>
                    <a:srgbClr val="FF0000"/>
                  </a:solidFill>
                  <a:miter lim="800000"/>
                  <a:headEnd/>
                  <a:tailEnd/>
                </a:ln>
                <a:effectLst/>
              </xdr:spPr>
            </xdr:pic>
          </xdr:grpSp>
        </mc:Choice>
        <mc:Fallback/>
      </mc:AlternateContent>
    </xdr:grpSp>
    <xdr:clientData/>
  </xdr:twoCellAnchor>
  <xdr:twoCellAnchor>
    <xdr:from>
      <xdr:col>14</xdr:col>
      <xdr:colOff>66674</xdr:colOff>
      <xdr:row>23</xdr:row>
      <xdr:rowOff>114299</xdr:rowOff>
    </xdr:from>
    <xdr:to>
      <xdr:col>24</xdr:col>
      <xdr:colOff>47625</xdr:colOff>
      <xdr:row>36</xdr:row>
      <xdr:rowOff>66675</xdr:rowOff>
    </xdr:to>
    <xdr:grpSp>
      <xdr:nvGrpSpPr>
        <xdr:cNvPr id="138" name="Group 137">
          <a:extLst>
            <a:ext uri="{FF2B5EF4-FFF2-40B4-BE49-F238E27FC236}">
              <a16:creationId xmlns:a16="http://schemas.microsoft.com/office/drawing/2014/main" id="{00000000-0008-0000-0800-00008A000000}"/>
            </a:ext>
          </a:extLst>
        </xdr:cNvPr>
        <xdr:cNvGrpSpPr/>
      </xdr:nvGrpSpPr>
      <xdr:grpSpPr>
        <a:xfrm>
          <a:off x="7122794" y="5029199"/>
          <a:ext cx="5010151" cy="2626996"/>
          <a:chOff x="1323975" y="2219324"/>
          <a:chExt cx="4552951" cy="2552701"/>
        </a:xfrm>
      </xdr:grpSpPr>
      <xdr:grpSp>
        <xdr:nvGrpSpPr>
          <xdr:cNvPr id="139" name="Group 138">
            <a:extLst>
              <a:ext uri="{FF2B5EF4-FFF2-40B4-BE49-F238E27FC236}">
                <a16:creationId xmlns:a16="http://schemas.microsoft.com/office/drawing/2014/main" id="{00000000-0008-0000-0800-00008B000000}"/>
              </a:ext>
            </a:extLst>
          </xdr:cNvPr>
          <xdr:cNvGrpSpPr/>
        </xdr:nvGrpSpPr>
        <xdr:grpSpPr>
          <a:xfrm>
            <a:off x="2895600" y="2219324"/>
            <a:ext cx="2981326" cy="2552701"/>
            <a:chOff x="2895600" y="2219324"/>
            <a:chExt cx="2981326" cy="2552701"/>
          </a:xfrm>
        </xdr:grpSpPr>
        <xdr:graphicFrame macro="">
          <xdr:nvGraphicFramePr>
            <xdr:cNvPr id="143" name="Chart 142">
              <a:extLst>
                <a:ext uri="{FF2B5EF4-FFF2-40B4-BE49-F238E27FC236}">
                  <a16:creationId xmlns:a16="http://schemas.microsoft.com/office/drawing/2014/main" id="{00000000-0008-0000-0800-00008F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144" name="Chart 143">
              <a:extLst>
                <a:ext uri="{FF2B5EF4-FFF2-40B4-BE49-F238E27FC236}">
                  <a16:creationId xmlns:a16="http://schemas.microsoft.com/office/drawing/2014/main" id="{00000000-0008-0000-0800-000090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8"/>
            </a:graphicData>
          </a:graphic>
        </xdr:graphicFrame>
      </xdr:grpSp>
      <mc:AlternateContent xmlns:mc="http://schemas.openxmlformats.org/markup-compatibility/2006">
        <mc:Choice xmlns:a14="http://schemas.microsoft.com/office/drawing/2010/main" Requires="a14">
          <xdr:grpSp>
            <xdr:nvGrpSpPr>
              <xdr:cNvPr id="140" name="Group 139">
                <a:extLst>
                  <a:ext uri="{FF2B5EF4-FFF2-40B4-BE49-F238E27FC236}">
                    <a16:creationId xmlns:a16="http://schemas.microsoft.com/office/drawing/2014/main" id="{00000000-0008-0000-0800-00008C000000}"/>
                  </a:ext>
                </a:extLst>
              </xdr:cNvPr>
              <xdr:cNvGrpSpPr/>
            </xdr:nvGrpSpPr>
            <xdr:grpSpPr>
              <a:xfrm>
                <a:off x="1323975" y="3171825"/>
                <a:ext cx="1304925" cy="1409700"/>
                <a:chOff x="1333500" y="6267450"/>
                <a:chExt cx="1304925" cy="1409700"/>
              </a:xfrm>
            </xdr:grpSpPr>
            <xdr:pic>
              <xdr:nvPicPr>
                <xdr:cNvPr id="141" name="Picture 140">
                  <a:extLst>
                    <a:ext uri="{FF2B5EF4-FFF2-40B4-BE49-F238E27FC236}">
                      <a16:creationId xmlns:a16="http://schemas.microsoft.com/office/drawing/2014/main" id="{00000000-0008-0000-0800-00008D000000}"/>
                    </a:ext>
                  </a:extLst>
                </xdr:cNvPr>
                <xdr:cNvPicPr>
                  <a:picLocks noChangeAspect="1" noChangeArrowheads="1"/>
                  <a:extLst>
                    <a:ext uri="{84589F7E-364E-4C9E-8A38-B11213B215E9}">
                      <a14:cameraTool cellRange="$E$77:$E$83" spid="_x0000_s376594"/>
                    </a:ext>
                  </a:extLst>
                </xdr:cNvPicPr>
              </xdr:nvPicPr>
              <xdr:blipFill>
                <a:blip xmlns:r="http://schemas.openxmlformats.org/officeDocument/2006/relationships" r:embed="rId19"/>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42" name="Picture 141">
                  <a:extLst>
                    <a:ext uri="{FF2B5EF4-FFF2-40B4-BE49-F238E27FC236}">
                      <a16:creationId xmlns:a16="http://schemas.microsoft.com/office/drawing/2014/main" id="{00000000-0008-0000-0800-00008E000000}"/>
                    </a:ext>
                  </a:extLst>
                </xdr:cNvPr>
                <xdr:cNvPicPr>
                  <a:picLocks noChangeAspect="1" noChangeArrowheads="1"/>
                  <a:extLst>
                    <a:ext uri="{84589F7E-364E-4C9E-8A38-B11213B215E9}">
                      <a14:cameraTool cellRange="$J$77:$J$83" spid="_x0000_s376595"/>
                    </a:ext>
                  </a:extLst>
                </xdr:cNvPicPr>
              </xdr:nvPicPr>
              <xdr:blipFill>
                <a:blip xmlns:r="http://schemas.openxmlformats.org/officeDocument/2006/relationships" r:embed="rId20"/>
                <a:srcRect/>
                <a:stretch>
                  <a:fillRect/>
                </a:stretch>
              </xdr:blipFill>
              <xdr:spPr bwMode="auto">
                <a:xfrm>
                  <a:off x="2152650" y="6267450"/>
                  <a:ext cx="466725" cy="1409700"/>
                </a:xfrm>
                <a:prstGeom prst="rect">
                  <a:avLst/>
                </a:prstGeom>
                <a:solidFill>
                  <a:srgbClr val="FFFFFF" mc:Ignorable="a14" a14:legacySpreadsheetColorIndex="9"/>
                </a:solidFill>
                <a:ln w="25400">
                  <a:solidFill>
                    <a:schemeClr val="accent6"/>
                  </a:solidFill>
                  <a:miter lim="800000"/>
                  <a:headEnd/>
                  <a:tailEnd/>
                </a:ln>
                <a:effectLst/>
              </xdr:spPr>
            </xdr:pic>
          </xdr:grpSp>
        </mc:Choice>
        <mc:Fallback/>
      </mc:AlternateContent>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8" name="Rectangle 7">
          <a:extLst>
            <a:ext uri="{FF2B5EF4-FFF2-40B4-BE49-F238E27FC236}">
              <a16:creationId xmlns:a16="http://schemas.microsoft.com/office/drawing/2014/main" id="{00000000-0008-0000-0900-000008000000}"/>
            </a:ext>
          </a:extLst>
        </xdr:cNvPr>
        <xdr:cNvSpPr/>
      </xdr:nvSpPr>
      <xdr:spPr>
        <a:xfrm>
          <a:off x="5972175" y="1019175"/>
          <a:ext cx="16818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9" name="Rectangle 8">
          <a:extLst>
            <a:ext uri="{FF2B5EF4-FFF2-40B4-BE49-F238E27FC236}">
              <a16:creationId xmlns:a16="http://schemas.microsoft.com/office/drawing/2014/main" id="{00000000-0008-0000-0900-000009000000}"/>
            </a:ext>
          </a:extLst>
        </xdr:cNvPr>
        <xdr:cNvSpPr/>
      </xdr:nvSpPr>
      <xdr:spPr>
        <a:xfrm>
          <a:off x="5972175" y="866776"/>
          <a:ext cx="16818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2022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10" name="Picture 9" descr="logovvsm.jpg">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11" name="TextBox 10">
          <a:extLst>
            <a:ext uri="{FF2B5EF4-FFF2-40B4-BE49-F238E27FC236}">
              <a16:creationId xmlns:a16="http://schemas.microsoft.com/office/drawing/2014/main" id="{00000000-0008-0000-0900-00000B000000}"/>
            </a:ext>
          </a:extLst>
        </xdr:cNvPr>
        <xdr:cNvSpPr txBox="1"/>
      </xdr:nvSpPr>
      <xdr:spPr>
        <a:xfrm>
          <a:off x="1699260" y="99060"/>
          <a:ext cx="1952625"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12" name="Rectangle 11">
          <a:extLst>
            <a:ext uri="{FF2B5EF4-FFF2-40B4-BE49-F238E27FC236}">
              <a16:creationId xmlns:a16="http://schemas.microsoft.com/office/drawing/2014/main" id="{00000000-0008-0000-0900-00000C000000}"/>
            </a:ext>
          </a:extLst>
        </xdr:cNvPr>
        <xdr:cNvSpPr/>
      </xdr:nvSpPr>
      <xdr:spPr>
        <a:xfrm>
          <a:off x="1356360" y="548640"/>
          <a:ext cx="8490585"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13" name="Picture 12">
          <a:hlinkClick xmlns:r="http://schemas.openxmlformats.org/officeDocument/2006/relationships" r:id="rId2" tooltip="Home - Navigation Page"/>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5784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89441" name="Drop Down 1" hidden="1">
              <a:extLst>
                <a:ext uri="{63B3BB69-23CF-44E3-9099-C40C66FF867C}">
                  <a14:compatExt spid="_x0000_s189441"/>
                </a:ext>
                <a:ext uri="{FF2B5EF4-FFF2-40B4-BE49-F238E27FC236}">
                  <a16:creationId xmlns:a16="http://schemas.microsoft.com/office/drawing/2014/main" id="{00000000-0008-0000-0900-000001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5" name="Rectangle 14">
          <a:extLst>
            <a:ext uri="{FF2B5EF4-FFF2-40B4-BE49-F238E27FC236}">
              <a16:creationId xmlns:a16="http://schemas.microsoft.com/office/drawing/2014/main" id="{00000000-0008-0000-0900-00000F000000}"/>
            </a:ext>
          </a:extLst>
        </xdr:cNvPr>
        <xdr:cNvSpPr/>
      </xdr:nvSpPr>
      <xdr:spPr>
        <a:xfrm>
          <a:off x="3636645" y="91440"/>
          <a:ext cx="6804660"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6" name="Bent Arrow 15">
          <a:extLst>
            <a:ext uri="{FF2B5EF4-FFF2-40B4-BE49-F238E27FC236}">
              <a16:creationId xmlns:a16="http://schemas.microsoft.com/office/drawing/2014/main" id="{00000000-0008-0000-0900-000010000000}"/>
            </a:ext>
          </a:extLst>
        </xdr:cNvPr>
        <xdr:cNvSpPr/>
      </xdr:nvSpPr>
      <xdr:spPr>
        <a:xfrm rot="5400000">
          <a:off x="10563225" y="139065"/>
          <a:ext cx="270510" cy="41529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18" name="Rectangle 17">
          <a:extLst>
            <a:ext uri="{FF2B5EF4-FFF2-40B4-BE49-F238E27FC236}">
              <a16:creationId xmlns:a16="http://schemas.microsoft.com/office/drawing/2014/main" id="{00000000-0008-0000-0900-000012000000}"/>
            </a:ext>
          </a:extLst>
        </xdr:cNvPr>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335280</xdr:colOff>
          <xdr:row>4</xdr:row>
          <xdr:rowOff>22860</xdr:rowOff>
        </xdr:from>
        <xdr:to>
          <xdr:col>7</xdr:col>
          <xdr:colOff>198120</xdr:colOff>
          <xdr:row>4</xdr:row>
          <xdr:rowOff>297180</xdr:rowOff>
        </xdr:to>
        <xdr:sp macro="" textlink="">
          <xdr:nvSpPr>
            <xdr:cNvPr id="189442" name="Drop Down 2" hidden="1">
              <a:extLst>
                <a:ext uri="{63B3BB69-23CF-44E3-9099-C40C66FF867C}">
                  <a14:compatExt spid="_x0000_s189442"/>
                </a:ext>
                <a:ext uri="{FF2B5EF4-FFF2-40B4-BE49-F238E27FC236}">
                  <a16:creationId xmlns:a16="http://schemas.microsoft.com/office/drawing/2014/main" id="{00000000-0008-0000-0900-000002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19050</xdr:colOff>
      <xdr:row>8</xdr:row>
      <xdr:rowOff>38100</xdr:rowOff>
    </xdr:from>
    <xdr:to>
      <xdr:col>13</xdr:col>
      <xdr:colOff>409575</xdr:colOff>
      <xdr:row>20</xdr:row>
      <xdr:rowOff>176212</xdr:rowOff>
    </xdr:to>
    <xdr:graphicFrame macro="">
      <xdr:nvGraphicFramePr>
        <xdr:cNvPr id="14" name="CHART.EIMONTHDIST">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476250</xdr:colOff>
      <xdr:row>8</xdr:row>
      <xdr:rowOff>38100</xdr:rowOff>
    </xdr:from>
    <xdr:to>
      <xdr:col>23</xdr:col>
      <xdr:colOff>428625</xdr:colOff>
      <xdr:row>20</xdr:row>
      <xdr:rowOff>176212</xdr:rowOff>
    </xdr:to>
    <xdr:graphicFrame macro="">
      <xdr:nvGraphicFramePr>
        <xdr:cNvPr id="31" name="CHART.TNMONTHDIST">
          <a:extLst>
            <a:ext uri="{FF2B5EF4-FFF2-40B4-BE49-F238E27FC236}">
              <a16:creationId xmlns:a16="http://schemas.microsoft.com/office/drawing/2014/main" id="{00000000-0008-0000-0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28575</xdr:colOff>
      <xdr:row>23</xdr:row>
      <xdr:rowOff>47625</xdr:rowOff>
    </xdr:from>
    <xdr:to>
      <xdr:col>23</xdr:col>
      <xdr:colOff>466725</xdr:colOff>
      <xdr:row>35</xdr:row>
      <xdr:rowOff>185737</xdr:rowOff>
    </xdr:to>
    <xdr:graphicFrame macro="">
      <xdr:nvGraphicFramePr>
        <xdr:cNvPr id="32" name="CHART.EMMONTHDIST">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123825</xdr:colOff>
      <xdr:row>23</xdr:row>
      <xdr:rowOff>66675</xdr:rowOff>
    </xdr:from>
    <xdr:to>
      <xdr:col>14</xdr:col>
      <xdr:colOff>57150</xdr:colOff>
      <xdr:row>36</xdr:row>
      <xdr:rowOff>4762</xdr:rowOff>
    </xdr:to>
    <xdr:graphicFrame macro="">
      <xdr:nvGraphicFramePr>
        <xdr:cNvPr id="33" name="CHART.TDMONTHDIST">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371475</xdr:colOff>
      <xdr:row>17</xdr:row>
      <xdr:rowOff>57150</xdr:rowOff>
    </xdr:from>
    <xdr:to>
      <xdr:col>12</xdr:col>
      <xdr:colOff>171450</xdr:colOff>
      <xdr:row>19</xdr:row>
      <xdr:rowOff>104775</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809750" y="3657600"/>
          <a:ext cx="4362450"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4</xdr:col>
      <xdr:colOff>352425</xdr:colOff>
      <xdr:row>32</xdr:row>
      <xdr:rowOff>57150</xdr:rowOff>
    </xdr:from>
    <xdr:to>
      <xdr:col>12</xdr:col>
      <xdr:colOff>219075</xdr:colOff>
      <xdr:row>34</xdr:row>
      <xdr:rowOff>104775</xdr:rowOff>
    </xdr:to>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1647825" y="6457950"/>
          <a:ext cx="42576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13</xdr:col>
      <xdr:colOff>438150</xdr:colOff>
      <xdr:row>32</xdr:row>
      <xdr:rowOff>66675</xdr:rowOff>
    </xdr:from>
    <xdr:to>
      <xdr:col>23</xdr:col>
      <xdr:colOff>9525</xdr:colOff>
      <xdr:row>34</xdr:row>
      <xdr:rowOff>114300</xdr:rowOff>
    </xdr:to>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6581775" y="6467475"/>
          <a:ext cx="41433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13</xdr:col>
      <xdr:colOff>447675</xdr:colOff>
      <xdr:row>17</xdr:row>
      <xdr:rowOff>66675</xdr:rowOff>
    </xdr:from>
    <xdr:to>
      <xdr:col>23</xdr:col>
      <xdr:colOff>19050</xdr:colOff>
      <xdr:row>19</xdr:row>
      <xdr:rowOff>114300</xdr:rowOff>
    </xdr:to>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6591300" y="3667125"/>
          <a:ext cx="41433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GTS02"/>
  <dimension ref="A1:AD29"/>
  <sheetViews>
    <sheetView showGridLines="0" workbookViewId="0">
      <selection sqref="A1:AC29"/>
    </sheetView>
  </sheetViews>
  <sheetFormatPr defaultRowHeight="13.8" x14ac:dyDescent="0.3"/>
  <sheetData>
    <row r="1" spans="1:29" x14ac:dyDescent="0.3">
      <c r="A1" s="787"/>
      <c r="B1" s="787">
        <v>1995</v>
      </c>
      <c r="C1" s="787">
        <v>1996</v>
      </c>
      <c r="D1" s="787">
        <v>1997</v>
      </c>
      <c r="E1" s="787">
        <v>1998</v>
      </c>
      <c r="F1" s="787">
        <v>1999</v>
      </c>
      <c r="G1" s="787">
        <v>2000</v>
      </c>
      <c r="H1" s="787">
        <v>2001</v>
      </c>
      <c r="I1" s="787">
        <v>2002</v>
      </c>
      <c r="J1" s="787">
        <v>2003</v>
      </c>
      <c r="K1" s="787">
        <v>2004</v>
      </c>
      <c r="L1" s="787">
        <v>2005</v>
      </c>
      <c r="M1" s="787">
        <v>2006</v>
      </c>
      <c r="N1" s="787">
        <v>2007</v>
      </c>
      <c r="O1" s="787">
        <v>2008</v>
      </c>
      <c r="P1" s="787">
        <v>2009</v>
      </c>
      <c r="Q1" s="787">
        <v>2010</v>
      </c>
      <c r="R1" s="787">
        <v>2011</v>
      </c>
      <c r="S1" s="787">
        <v>2012</v>
      </c>
      <c r="T1" s="787">
        <v>2013</v>
      </c>
      <c r="U1" s="787">
        <v>2014</v>
      </c>
      <c r="V1" s="787">
        <v>2015</v>
      </c>
      <c r="W1" s="787">
        <v>2016</v>
      </c>
      <c r="X1" s="787">
        <v>2017</v>
      </c>
      <c r="Y1" s="787">
        <v>2018</v>
      </c>
      <c r="Z1" s="787">
        <v>2019</v>
      </c>
      <c r="AA1" s="787">
        <v>2020</v>
      </c>
      <c r="AB1" s="787">
        <v>2021</v>
      </c>
      <c r="AC1" s="787">
        <v>2022</v>
      </c>
    </row>
    <row r="2" spans="1:29" x14ac:dyDescent="0.3">
      <c r="A2" s="787">
        <v>1995</v>
      </c>
      <c r="B2" s="787">
        <v>1</v>
      </c>
      <c r="C2" s="787">
        <v>1.0289999999999999</v>
      </c>
      <c r="D2" s="787">
        <v>1.0580000000000001</v>
      </c>
      <c r="E2" s="787">
        <v>1.0920000000000001</v>
      </c>
      <c r="F2" s="787">
        <v>1.119</v>
      </c>
      <c r="G2" s="787">
        <v>1.141</v>
      </c>
      <c r="H2" s="787">
        <v>1.1719999999999999</v>
      </c>
      <c r="I2" s="787">
        <v>1.1870000000000001</v>
      </c>
      <c r="J2" s="787">
        <v>1.222</v>
      </c>
      <c r="K2" s="787">
        <v>1.254</v>
      </c>
      <c r="L2" s="787">
        <v>1.294</v>
      </c>
      <c r="M2" s="787">
        <v>1.325</v>
      </c>
      <c r="N2" s="787">
        <v>1.381</v>
      </c>
      <c r="O2" s="787">
        <v>1.4370000000000001</v>
      </c>
      <c r="P2" s="787">
        <v>1.4390000000000001</v>
      </c>
      <c r="Q2" s="787">
        <v>1.492</v>
      </c>
      <c r="R2" s="787">
        <v>1.5680000000000001</v>
      </c>
      <c r="S2" s="787">
        <v>1.63</v>
      </c>
      <c r="T2" s="787">
        <v>1.6839999999999999</v>
      </c>
      <c r="U2" s="787">
        <v>1.73</v>
      </c>
      <c r="V2" s="787">
        <v>1.7490000000000001</v>
      </c>
      <c r="W2" s="787">
        <v>1.7729999999999999</v>
      </c>
      <c r="X2" s="787">
        <v>1.8180000000000001</v>
      </c>
      <c r="Y2" s="787">
        <v>1.89</v>
      </c>
      <c r="Z2" s="787">
        <v>1.9339999999999999</v>
      </c>
      <c r="AA2" s="787">
        <v>1.9859378091872792</v>
      </c>
      <c r="AB2" s="787">
        <v>2.0132734982332159</v>
      </c>
      <c r="AC2" s="787">
        <v>2.1711371024734984</v>
      </c>
    </row>
    <row r="3" spans="1:29" x14ac:dyDescent="0.3">
      <c r="A3" s="787">
        <v>1996</v>
      </c>
      <c r="B3" s="787">
        <v>0.97199999999999998</v>
      </c>
      <c r="C3" s="787">
        <v>1</v>
      </c>
      <c r="D3" s="787">
        <v>1.028</v>
      </c>
      <c r="E3" s="787">
        <v>1.0620000000000001</v>
      </c>
      <c r="F3" s="787">
        <v>1.0880000000000001</v>
      </c>
      <c r="G3" s="787">
        <v>1.109</v>
      </c>
      <c r="H3" s="787">
        <v>1.139</v>
      </c>
      <c r="I3" s="787">
        <v>1.1539999999999999</v>
      </c>
      <c r="J3" s="787">
        <v>1.1879999999999999</v>
      </c>
      <c r="K3" s="787">
        <v>1.2190000000000001</v>
      </c>
      <c r="L3" s="787">
        <v>1.258</v>
      </c>
      <c r="M3" s="787">
        <v>1.288</v>
      </c>
      <c r="N3" s="787">
        <v>1.3420000000000001</v>
      </c>
      <c r="O3" s="787">
        <v>1.397</v>
      </c>
      <c r="P3" s="787">
        <v>1.399</v>
      </c>
      <c r="Q3" s="787">
        <v>1.4510000000000001</v>
      </c>
      <c r="R3" s="787">
        <v>1.5249999999999999</v>
      </c>
      <c r="S3" s="787">
        <v>1.585</v>
      </c>
      <c r="T3" s="787">
        <v>1.6359999999999999</v>
      </c>
      <c r="U3" s="787">
        <v>1.6819999999999999</v>
      </c>
      <c r="V3" s="787">
        <v>1.7</v>
      </c>
      <c r="W3" s="787">
        <v>1.7230000000000001</v>
      </c>
      <c r="X3" s="787">
        <v>1.768</v>
      </c>
      <c r="Y3" s="787">
        <v>1.8380000000000001</v>
      </c>
      <c r="Z3" s="787">
        <v>1.885</v>
      </c>
      <c r="AA3" s="787">
        <v>1.9356219081272086</v>
      </c>
      <c r="AB3" s="787">
        <v>1.9622650176678447</v>
      </c>
      <c r="AC3" s="787">
        <v>2.1161289752650174</v>
      </c>
    </row>
    <row r="4" spans="1:29" x14ac:dyDescent="0.3">
      <c r="A4" s="787">
        <v>1997</v>
      </c>
      <c r="B4" s="787">
        <v>0.94599999999999995</v>
      </c>
      <c r="C4" s="787">
        <v>0.97299999999999998</v>
      </c>
      <c r="D4" s="787">
        <v>1</v>
      </c>
      <c r="E4" s="787">
        <v>1.0329999999999999</v>
      </c>
      <c r="F4" s="787">
        <v>1.0580000000000001</v>
      </c>
      <c r="G4" s="787">
        <v>1.079</v>
      </c>
      <c r="H4" s="787">
        <v>1.1080000000000001</v>
      </c>
      <c r="I4" s="787">
        <v>1.1220000000000001</v>
      </c>
      <c r="J4" s="787">
        <v>1.155</v>
      </c>
      <c r="K4" s="787">
        <v>1.1859999999999999</v>
      </c>
      <c r="L4" s="787">
        <v>1.2230000000000001</v>
      </c>
      <c r="M4" s="787">
        <v>1.2529999999999999</v>
      </c>
      <c r="N4" s="787">
        <v>1.306</v>
      </c>
      <c r="O4" s="787">
        <v>1.359</v>
      </c>
      <c r="P4" s="787">
        <v>1.361</v>
      </c>
      <c r="Q4" s="787">
        <v>1.411</v>
      </c>
      <c r="R4" s="787">
        <v>1.4830000000000001</v>
      </c>
      <c r="S4" s="787">
        <v>1.5409999999999999</v>
      </c>
      <c r="T4" s="787">
        <v>1.5920000000000001</v>
      </c>
      <c r="U4" s="787">
        <v>1.6359999999999999</v>
      </c>
      <c r="V4" s="787">
        <v>1.6539999999999999</v>
      </c>
      <c r="W4" s="787">
        <v>1.6759999999999999</v>
      </c>
      <c r="X4" s="787">
        <v>1.72</v>
      </c>
      <c r="Y4" s="787">
        <v>1.788</v>
      </c>
      <c r="Z4" s="787">
        <v>1.833</v>
      </c>
      <c r="AA4" s="787">
        <v>1.8822254416961131</v>
      </c>
      <c r="AB4" s="787">
        <v>1.9081335689045937</v>
      </c>
      <c r="AC4" s="787">
        <v>2.0577530035335689</v>
      </c>
    </row>
    <row r="5" spans="1:29" x14ac:dyDescent="0.3">
      <c r="A5" s="787">
        <v>1998</v>
      </c>
      <c r="B5" s="787">
        <v>0.91500000000000004</v>
      </c>
      <c r="C5" s="787">
        <v>0.94199999999999995</v>
      </c>
      <c r="D5" s="787">
        <v>0.96799999999999997</v>
      </c>
      <c r="E5" s="787">
        <v>1</v>
      </c>
      <c r="F5" s="787">
        <v>1.024</v>
      </c>
      <c r="G5" s="787">
        <v>1.0449999999999999</v>
      </c>
      <c r="H5" s="787">
        <v>1.073</v>
      </c>
      <c r="I5" s="787">
        <v>1.087</v>
      </c>
      <c r="J5" s="787">
        <v>1.1180000000000001</v>
      </c>
      <c r="K5" s="787">
        <v>1.1479999999999999</v>
      </c>
      <c r="L5" s="787">
        <v>1.1839999999999999</v>
      </c>
      <c r="M5" s="787">
        <v>1.2130000000000001</v>
      </c>
      <c r="N5" s="787">
        <v>1.264</v>
      </c>
      <c r="O5" s="787">
        <v>1.3149999999999999</v>
      </c>
      <c r="P5" s="787">
        <v>1.3169999999999999</v>
      </c>
      <c r="Q5" s="787">
        <v>1.3660000000000001</v>
      </c>
      <c r="R5" s="787">
        <v>1.4359999999999999</v>
      </c>
      <c r="S5" s="787">
        <v>1.492</v>
      </c>
      <c r="T5" s="787">
        <v>1.5409999999999999</v>
      </c>
      <c r="U5" s="787">
        <v>1.5840000000000001</v>
      </c>
      <c r="V5" s="787">
        <v>1.601</v>
      </c>
      <c r="W5" s="787">
        <v>1.623</v>
      </c>
      <c r="X5" s="787">
        <v>1.665</v>
      </c>
      <c r="Y5" s="787">
        <v>1.73</v>
      </c>
      <c r="Z5" s="787">
        <v>1.774</v>
      </c>
      <c r="AA5" s="787">
        <v>1.8216409893992933</v>
      </c>
      <c r="AB5" s="787">
        <v>1.8467151943462898</v>
      </c>
      <c r="AC5" s="787">
        <v>1.9915187279151942</v>
      </c>
    </row>
    <row r="6" spans="1:29" x14ac:dyDescent="0.3">
      <c r="A6" s="787">
        <v>1999</v>
      </c>
      <c r="B6" s="787">
        <v>0.89400000000000002</v>
      </c>
      <c r="C6" s="787">
        <v>0.91900000000000004</v>
      </c>
      <c r="D6" s="787">
        <v>0.94499999999999995</v>
      </c>
      <c r="E6" s="787">
        <v>0.97599999999999998</v>
      </c>
      <c r="F6" s="787">
        <v>1</v>
      </c>
      <c r="G6" s="787">
        <v>1.02</v>
      </c>
      <c r="H6" s="787">
        <v>1.0469999999999999</v>
      </c>
      <c r="I6" s="787">
        <v>1.0609999999999999</v>
      </c>
      <c r="J6" s="787">
        <v>1.0920000000000001</v>
      </c>
      <c r="K6" s="787">
        <v>1.121</v>
      </c>
      <c r="L6" s="787">
        <v>1.1559999999999999</v>
      </c>
      <c r="M6" s="787">
        <v>1.1839999999999999</v>
      </c>
      <c r="N6" s="787">
        <v>1.234</v>
      </c>
      <c r="O6" s="787">
        <v>1.284</v>
      </c>
      <c r="P6" s="787">
        <v>1.286</v>
      </c>
      <c r="Q6" s="787">
        <v>1.3340000000000001</v>
      </c>
      <c r="R6" s="787">
        <v>1.401</v>
      </c>
      <c r="S6" s="787">
        <v>1.4570000000000001</v>
      </c>
      <c r="T6" s="787">
        <v>1.504</v>
      </c>
      <c r="U6" s="787">
        <v>1.546</v>
      </c>
      <c r="V6" s="787">
        <v>1.5629999999999999</v>
      </c>
      <c r="W6" s="787">
        <v>1.5840000000000001</v>
      </c>
      <c r="X6" s="787">
        <v>1.625</v>
      </c>
      <c r="Y6" s="787">
        <v>1.6890000000000001</v>
      </c>
      <c r="Z6" s="787">
        <v>1.732</v>
      </c>
      <c r="AA6" s="787">
        <v>1.7783991312849989</v>
      </c>
      <c r="AB6" s="787">
        <v>1.802878128274469</v>
      </c>
      <c r="AC6" s="787">
        <v>1.9442443358886583</v>
      </c>
    </row>
    <row r="7" spans="1:29" x14ac:dyDescent="0.3">
      <c r="A7" s="787">
        <v>2000</v>
      </c>
      <c r="B7" s="787">
        <v>0.876</v>
      </c>
      <c r="C7" s="787">
        <v>0.90200000000000002</v>
      </c>
      <c r="D7" s="787">
        <v>0.92700000000000005</v>
      </c>
      <c r="E7" s="787">
        <v>0.95699999999999996</v>
      </c>
      <c r="F7" s="787">
        <v>0.98099999999999998</v>
      </c>
      <c r="G7" s="787">
        <v>1</v>
      </c>
      <c r="H7" s="787">
        <v>1.0269999999999999</v>
      </c>
      <c r="I7" s="787">
        <v>1.04</v>
      </c>
      <c r="J7" s="787">
        <v>1.071</v>
      </c>
      <c r="K7" s="787">
        <v>1.099</v>
      </c>
      <c r="L7" s="787">
        <v>1.1339999999999999</v>
      </c>
      <c r="M7" s="787">
        <v>1.161</v>
      </c>
      <c r="N7" s="787">
        <v>1.21</v>
      </c>
      <c r="O7" s="787">
        <v>1.2589999999999999</v>
      </c>
      <c r="P7" s="787">
        <v>1.2609999999999999</v>
      </c>
      <c r="Q7" s="787">
        <v>1.3080000000000001</v>
      </c>
      <c r="R7" s="787">
        <v>1.375</v>
      </c>
      <c r="S7" s="787">
        <v>1.429</v>
      </c>
      <c r="T7" s="787">
        <v>1.4750000000000001</v>
      </c>
      <c r="U7" s="787">
        <v>1.516</v>
      </c>
      <c r="V7" s="787">
        <v>1.5329999999999999</v>
      </c>
      <c r="W7" s="787">
        <v>1.5529999999999999</v>
      </c>
      <c r="X7" s="787">
        <v>1.5940000000000001</v>
      </c>
      <c r="Y7" s="787">
        <v>1.657</v>
      </c>
      <c r="Z7" s="787">
        <v>1.6990000000000001</v>
      </c>
      <c r="AA7" s="787">
        <v>1.7442125650107869</v>
      </c>
      <c r="AB7" s="787">
        <v>1.7682209967383959</v>
      </c>
      <c r="AC7" s="787">
        <v>1.9068696899653372</v>
      </c>
    </row>
    <row r="8" spans="1:29" x14ac:dyDescent="0.3">
      <c r="A8" s="787">
        <v>2001</v>
      </c>
      <c r="B8" s="787">
        <v>0.85299999999999998</v>
      </c>
      <c r="C8" s="787">
        <v>0.878</v>
      </c>
      <c r="D8" s="787">
        <v>0.90200000000000002</v>
      </c>
      <c r="E8" s="787">
        <v>0.93200000000000005</v>
      </c>
      <c r="F8" s="787">
        <v>0.95499999999999996</v>
      </c>
      <c r="G8" s="787">
        <v>0.97399999999999998</v>
      </c>
      <c r="H8" s="787">
        <v>1</v>
      </c>
      <c r="I8" s="787">
        <v>1.0129999999999999</v>
      </c>
      <c r="J8" s="787">
        <v>1.0429999999999999</v>
      </c>
      <c r="K8" s="787">
        <v>1.07</v>
      </c>
      <c r="L8" s="787">
        <v>1.1040000000000001</v>
      </c>
      <c r="M8" s="787">
        <v>1.1299999999999999</v>
      </c>
      <c r="N8" s="787">
        <v>1.1779999999999999</v>
      </c>
      <c r="O8" s="787">
        <v>1.226</v>
      </c>
      <c r="P8" s="787">
        <v>1.228</v>
      </c>
      <c r="Q8" s="787">
        <v>1.274</v>
      </c>
      <c r="R8" s="787">
        <v>1.3380000000000001</v>
      </c>
      <c r="S8" s="787">
        <v>1.391</v>
      </c>
      <c r="T8" s="787">
        <v>1.4370000000000001</v>
      </c>
      <c r="U8" s="787">
        <v>1.476</v>
      </c>
      <c r="V8" s="787">
        <v>1.4930000000000001</v>
      </c>
      <c r="W8" s="787">
        <v>1.5129999999999999</v>
      </c>
      <c r="X8" s="787">
        <v>1.552</v>
      </c>
      <c r="Y8" s="787">
        <v>1.613</v>
      </c>
      <c r="Z8" s="787">
        <v>1.6539999999999999</v>
      </c>
      <c r="AA8" s="787">
        <v>1.698356927955976</v>
      </c>
      <c r="AB8" s="787">
        <v>1.7217341740393344</v>
      </c>
      <c r="AC8" s="787">
        <v>1.8567377701707279</v>
      </c>
    </row>
    <row r="9" spans="1:29" x14ac:dyDescent="0.3">
      <c r="A9" s="787">
        <v>2002</v>
      </c>
      <c r="B9" s="787">
        <v>0.84199999999999997</v>
      </c>
      <c r="C9" s="787">
        <v>0.86699999999999999</v>
      </c>
      <c r="D9" s="787">
        <v>0.89100000000000001</v>
      </c>
      <c r="E9" s="787">
        <v>0.92</v>
      </c>
      <c r="F9" s="787">
        <v>0.94299999999999995</v>
      </c>
      <c r="G9" s="787">
        <v>0.96099999999999997</v>
      </c>
      <c r="H9" s="787">
        <v>0.98699999999999999</v>
      </c>
      <c r="I9" s="787">
        <v>1</v>
      </c>
      <c r="J9" s="787">
        <v>1.0289999999999999</v>
      </c>
      <c r="K9" s="787">
        <v>1.0569999999999999</v>
      </c>
      <c r="L9" s="787">
        <v>1.0900000000000001</v>
      </c>
      <c r="M9" s="787">
        <v>1.1160000000000001</v>
      </c>
      <c r="N9" s="787">
        <v>1.163</v>
      </c>
      <c r="O9" s="787">
        <v>1.2110000000000001</v>
      </c>
      <c r="P9" s="787">
        <v>1.212</v>
      </c>
      <c r="Q9" s="787">
        <v>1.2569999999999999</v>
      </c>
      <c r="R9" s="787">
        <v>1.321</v>
      </c>
      <c r="S9" s="787">
        <v>1.373</v>
      </c>
      <c r="T9" s="787">
        <v>1.4179999999999999</v>
      </c>
      <c r="U9" s="787">
        <v>1.458</v>
      </c>
      <c r="V9" s="787">
        <v>1.474</v>
      </c>
      <c r="W9" s="787">
        <v>1.4930000000000001</v>
      </c>
      <c r="X9" s="787">
        <v>1.532</v>
      </c>
      <c r="Y9" s="787">
        <v>1.593</v>
      </c>
      <c r="Z9" s="787">
        <v>1.633</v>
      </c>
      <c r="AA9" s="787">
        <v>1.676727147750001</v>
      </c>
      <c r="AB9" s="787">
        <v>1.6998066680218524</v>
      </c>
      <c r="AC9" s="787">
        <v>1.8330908975917937</v>
      </c>
    </row>
    <row r="10" spans="1:29" x14ac:dyDescent="0.3">
      <c r="A10" s="787">
        <v>2003</v>
      </c>
      <c r="B10" s="787">
        <v>0.81799999999999995</v>
      </c>
      <c r="C10" s="787">
        <v>0.84199999999999997</v>
      </c>
      <c r="D10" s="787">
        <v>0.86499999999999999</v>
      </c>
      <c r="E10" s="787">
        <v>0.89400000000000002</v>
      </c>
      <c r="F10" s="787">
        <v>0.91600000000000004</v>
      </c>
      <c r="G10" s="787">
        <v>0.93400000000000005</v>
      </c>
      <c r="H10" s="787">
        <v>0.95899999999999996</v>
      </c>
      <c r="I10" s="787">
        <v>0.97099999999999997</v>
      </c>
      <c r="J10" s="787">
        <v>1</v>
      </c>
      <c r="K10" s="787">
        <v>1.026</v>
      </c>
      <c r="L10" s="787">
        <v>1.0589999999999999</v>
      </c>
      <c r="M10" s="787">
        <v>1.0840000000000001</v>
      </c>
      <c r="N10" s="787">
        <v>1.1299999999999999</v>
      </c>
      <c r="O10" s="787">
        <v>1.1759999999999999</v>
      </c>
      <c r="P10" s="787">
        <v>1.1779999999999999</v>
      </c>
      <c r="Q10" s="787">
        <v>1.2210000000000001</v>
      </c>
      <c r="R10" s="787">
        <v>1.284</v>
      </c>
      <c r="S10" s="787">
        <v>1.3340000000000001</v>
      </c>
      <c r="T10" s="787">
        <v>1.3779999999999999</v>
      </c>
      <c r="U10" s="787">
        <v>1.4159999999999999</v>
      </c>
      <c r="V10" s="787">
        <v>1.4319999999999999</v>
      </c>
      <c r="W10" s="787">
        <v>1.4510000000000001</v>
      </c>
      <c r="X10" s="787">
        <v>1.488</v>
      </c>
      <c r="Y10" s="787">
        <v>1.5469999999999999</v>
      </c>
      <c r="Z10" s="787">
        <v>1.5860000000000001</v>
      </c>
      <c r="AA10" s="787">
        <v>1.628839273120265</v>
      </c>
      <c r="AB10" s="787">
        <v>1.6512596347599109</v>
      </c>
      <c r="AC10" s="787">
        <v>1.780737223228865</v>
      </c>
    </row>
    <row r="11" spans="1:29" x14ac:dyDescent="0.3">
      <c r="A11" s="787">
        <v>2004</v>
      </c>
      <c r="B11" s="787">
        <v>0.79700000000000004</v>
      </c>
      <c r="C11" s="787">
        <v>0.82</v>
      </c>
      <c r="D11" s="787">
        <v>0.84299999999999997</v>
      </c>
      <c r="E11" s="787">
        <v>0.871</v>
      </c>
      <c r="F11" s="787">
        <v>0.89200000000000002</v>
      </c>
      <c r="G11" s="787">
        <v>0.91</v>
      </c>
      <c r="H11" s="787">
        <v>0.93400000000000005</v>
      </c>
      <c r="I11" s="787">
        <v>0.94599999999999995</v>
      </c>
      <c r="J11" s="787">
        <v>0.97399999999999998</v>
      </c>
      <c r="K11" s="787">
        <v>1</v>
      </c>
      <c r="L11" s="787">
        <v>1.032</v>
      </c>
      <c r="M11" s="787">
        <v>1.056</v>
      </c>
      <c r="N11" s="787">
        <v>1.101</v>
      </c>
      <c r="O11" s="787">
        <v>1.1459999999999999</v>
      </c>
      <c r="P11" s="787">
        <v>1.147</v>
      </c>
      <c r="Q11" s="787">
        <v>1.19</v>
      </c>
      <c r="R11" s="787">
        <v>1.2509999999999999</v>
      </c>
      <c r="S11" s="787">
        <v>1.3</v>
      </c>
      <c r="T11" s="787">
        <v>1.3420000000000001</v>
      </c>
      <c r="U11" s="787">
        <v>1.38</v>
      </c>
      <c r="V11" s="787">
        <v>1.395</v>
      </c>
      <c r="W11" s="787">
        <v>1.413</v>
      </c>
      <c r="X11" s="787">
        <v>1.45</v>
      </c>
      <c r="Y11" s="787">
        <v>1.5069999999999999</v>
      </c>
      <c r="Z11" s="787">
        <v>1.546</v>
      </c>
      <c r="AA11" s="787">
        <v>1.587098580454317</v>
      </c>
      <c r="AB11" s="787">
        <v>1.6089443971157666</v>
      </c>
      <c r="AC11" s="787">
        <v>1.7351039883356381</v>
      </c>
    </row>
    <row r="12" spans="1:29" x14ac:dyDescent="0.3">
      <c r="A12" s="787">
        <v>2005</v>
      </c>
      <c r="B12" s="787">
        <v>0.77300000000000002</v>
      </c>
      <c r="C12" s="787">
        <v>0.79500000000000004</v>
      </c>
      <c r="D12" s="787">
        <v>0.81699999999999995</v>
      </c>
      <c r="E12" s="787">
        <v>0.84399999999999997</v>
      </c>
      <c r="F12" s="787">
        <v>0.86499999999999999</v>
      </c>
      <c r="G12" s="787">
        <v>0.88200000000000001</v>
      </c>
      <c r="H12" s="787">
        <v>0.90600000000000003</v>
      </c>
      <c r="I12" s="787">
        <v>0.91700000000000004</v>
      </c>
      <c r="J12" s="787">
        <v>0.94399999999999995</v>
      </c>
      <c r="K12" s="787">
        <v>0.96899999999999997</v>
      </c>
      <c r="L12" s="787">
        <v>1</v>
      </c>
      <c r="M12" s="787">
        <v>1.024</v>
      </c>
      <c r="N12" s="787">
        <v>1.0669999999999999</v>
      </c>
      <c r="O12" s="787">
        <v>1.111</v>
      </c>
      <c r="P12" s="787">
        <v>1.1120000000000001</v>
      </c>
      <c r="Q12" s="787">
        <v>1.1539999999999999</v>
      </c>
      <c r="R12" s="787">
        <v>1.212</v>
      </c>
      <c r="S12" s="787">
        <v>1.26</v>
      </c>
      <c r="T12" s="787">
        <v>1.3009999999999999</v>
      </c>
      <c r="U12" s="787">
        <v>1.337</v>
      </c>
      <c r="V12" s="787">
        <v>1.3520000000000001</v>
      </c>
      <c r="W12" s="787">
        <v>1.37</v>
      </c>
      <c r="X12" s="787">
        <v>1.4059999999999999</v>
      </c>
      <c r="Y12" s="787">
        <v>1.4610000000000001</v>
      </c>
      <c r="Z12" s="787">
        <v>1.498</v>
      </c>
      <c r="AA12" s="787">
        <v>1.5383334113156117</v>
      </c>
      <c r="AB12" s="787">
        <v>1.5595079937150007</v>
      </c>
      <c r="AC12" s="787">
        <v>1.681791207071472</v>
      </c>
    </row>
    <row r="13" spans="1:29" x14ac:dyDescent="0.3">
      <c r="A13" s="787">
        <v>2006</v>
      </c>
      <c r="B13" s="787">
        <v>0.755</v>
      </c>
      <c r="C13" s="787">
        <v>0.77700000000000002</v>
      </c>
      <c r="D13" s="787">
        <v>0.79800000000000004</v>
      </c>
      <c r="E13" s="787">
        <v>0.82499999999999996</v>
      </c>
      <c r="F13" s="787">
        <v>0.84499999999999997</v>
      </c>
      <c r="G13" s="787">
        <v>0.86099999999999999</v>
      </c>
      <c r="H13" s="787">
        <v>0.88500000000000001</v>
      </c>
      <c r="I13" s="787">
        <v>0.89600000000000002</v>
      </c>
      <c r="J13" s="787">
        <v>0.92200000000000004</v>
      </c>
      <c r="K13" s="787">
        <v>0.94699999999999995</v>
      </c>
      <c r="L13" s="787">
        <v>0.97699999999999998</v>
      </c>
      <c r="M13" s="787">
        <v>1</v>
      </c>
      <c r="N13" s="787">
        <v>1.042</v>
      </c>
      <c r="O13" s="787">
        <v>1.085</v>
      </c>
      <c r="P13" s="787">
        <v>1.0860000000000001</v>
      </c>
      <c r="Q13" s="787">
        <v>1.127</v>
      </c>
      <c r="R13" s="787">
        <v>1.1839999999999999</v>
      </c>
      <c r="S13" s="787">
        <v>1.2310000000000001</v>
      </c>
      <c r="T13" s="787">
        <v>1.2709999999999999</v>
      </c>
      <c r="U13" s="787">
        <v>1.306</v>
      </c>
      <c r="V13" s="787">
        <v>1.321</v>
      </c>
      <c r="W13" s="787">
        <v>1.3380000000000001</v>
      </c>
      <c r="X13" s="787">
        <v>1.373</v>
      </c>
      <c r="Y13" s="787">
        <v>1.427</v>
      </c>
      <c r="Z13" s="787">
        <v>1.4630000000000001</v>
      </c>
      <c r="AA13" s="787">
        <v>1.502572193119371</v>
      </c>
      <c r="AB13" s="787">
        <v>1.5232545357638221</v>
      </c>
      <c r="AC13" s="787">
        <v>1.6426950645355269</v>
      </c>
    </row>
    <row r="14" spans="1:29" x14ac:dyDescent="0.3">
      <c r="A14" s="787">
        <v>2007</v>
      </c>
      <c r="B14" s="787">
        <v>0.72399999999999998</v>
      </c>
      <c r="C14" s="787">
        <v>0.745</v>
      </c>
      <c r="D14" s="787">
        <v>0.76600000000000001</v>
      </c>
      <c r="E14" s="787">
        <v>0.79100000000000004</v>
      </c>
      <c r="F14" s="787">
        <v>0.81100000000000005</v>
      </c>
      <c r="G14" s="787">
        <v>0.82599999999999996</v>
      </c>
      <c r="H14" s="787">
        <v>0.84899999999999998</v>
      </c>
      <c r="I14" s="787">
        <v>0.86</v>
      </c>
      <c r="J14" s="787">
        <v>0.88500000000000001</v>
      </c>
      <c r="K14" s="787">
        <v>0.90800000000000003</v>
      </c>
      <c r="L14" s="787">
        <v>0.93700000000000006</v>
      </c>
      <c r="M14" s="787">
        <v>0.95899999999999996</v>
      </c>
      <c r="N14" s="787">
        <v>1</v>
      </c>
      <c r="O14" s="787">
        <v>1.0409999999999999</v>
      </c>
      <c r="P14" s="787">
        <v>1.042</v>
      </c>
      <c r="Q14" s="787">
        <v>1.081</v>
      </c>
      <c r="R14" s="787">
        <v>1.1359999999999999</v>
      </c>
      <c r="S14" s="787">
        <v>1.181</v>
      </c>
      <c r="T14" s="787">
        <v>1.2190000000000001</v>
      </c>
      <c r="U14" s="787">
        <v>1.2529999999999999</v>
      </c>
      <c r="V14" s="787">
        <v>1.2669999999999999</v>
      </c>
      <c r="W14" s="787">
        <v>1.284</v>
      </c>
      <c r="X14" s="787">
        <v>1.3169999999999999</v>
      </c>
      <c r="Y14" s="787">
        <v>1.369</v>
      </c>
      <c r="Z14" s="787">
        <v>1.4039999999999999</v>
      </c>
      <c r="AA14" s="787">
        <v>1.4414545214115224</v>
      </c>
      <c r="AB14" s="787">
        <v>1.4612956022292998</v>
      </c>
      <c r="AC14" s="787">
        <v>1.5758778439519636</v>
      </c>
    </row>
    <row r="15" spans="1:29" x14ac:dyDescent="0.3">
      <c r="A15" s="787">
        <v>2008</v>
      </c>
      <c r="B15" s="787">
        <v>0.69599999999999995</v>
      </c>
      <c r="C15" s="787">
        <v>0.71599999999999997</v>
      </c>
      <c r="D15" s="787">
        <v>0.73599999999999999</v>
      </c>
      <c r="E15" s="787">
        <v>0.76</v>
      </c>
      <c r="F15" s="787">
        <v>0.77900000000000003</v>
      </c>
      <c r="G15" s="787">
        <v>0.79400000000000004</v>
      </c>
      <c r="H15" s="787">
        <v>0.81599999999999995</v>
      </c>
      <c r="I15" s="787">
        <v>0.82599999999999996</v>
      </c>
      <c r="J15" s="787">
        <v>0.85</v>
      </c>
      <c r="K15" s="787">
        <v>0.873</v>
      </c>
      <c r="L15" s="787">
        <v>0.9</v>
      </c>
      <c r="M15" s="787">
        <v>0.92200000000000004</v>
      </c>
      <c r="N15" s="787">
        <v>0.96099999999999997</v>
      </c>
      <c r="O15" s="787">
        <v>1</v>
      </c>
      <c r="P15" s="787">
        <v>1.0009999999999999</v>
      </c>
      <c r="Q15" s="787">
        <v>1.0389999999999999</v>
      </c>
      <c r="R15" s="787">
        <v>1.0920000000000001</v>
      </c>
      <c r="S15" s="787">
        <v>1.1339999999999999</v>
      </c>
      <c r="T15" s="787">
        <v>1.1719999999999999</v>
      </c>
      <c r="U15" s="787">
        <v>1.204</v>
      </c>
      <c r="V15" s="787">
        <v>1.2170000000000001</v>
      </c>
      <c r="W15" s="787">
        <v>1.234</v>
      </c>
      <c r="X15" s="787">
        <v>1.2649999999999999</v>
      </c>
      <c r="Y15" s="787">
        <v>1.3160000000000001</v>
      </c>
      <c r="Z15" s="787">
        <v>1.349</v>
      </c>
      <c r="AA15" s="787">
        <v>1.3850816963692922</v>
      </c>
      <c r="AB15" s="787">
        <v>1.4041468263950223</v>
      </c>
      <c r="AC15" s="787">
        <v>1.5142479522936134</v>
      </c>
    </row>
    <row r="16" spans="1:29" x14ac:dyDescent="0.3">
      <c r="A16" s="787">
        <v>2009</v>
      </c>
      <c r="B16" s="787">
        <v>0.69499999999999995</v>
      </c>
      <c r="C16" s="787">
        <v>0.71499999999999997</v>
      </c>
      <c r="D16" s="787">
        <v>0.73499999999999999</v>
      </c>
      <c r="E16" s="787">
        <v>0.75900000000000001</v>
      </c>
      <c r="F16" s="787">
        <v>0.77800000000000002</v>
      </c>
      <c r="G16" s="787">
        <v>0.79300000000000004</v>
      </c>
      <c r="H16" s="787">
        <v>0.81399999999999995</v>
      </c>
      <c r="I16" s="787">
        <v>0.82499999999999996</v>
      </c>
      <c r="J16" s="787">
        <v>0.84899999999999998</v>
      </c>
      <c r="K16" s="787">
        <v>0.871</v>
      </c>
      <c r="L16" s="787">
        <v>0.89900000000000002</v>
      </c>
      <c r="M16" s="787">
        <v>0.92100000000000004</v>
      </c>
      <c r="N16" s="787">
        <v>0.96</v>
      </c>
      <c r="O16" s="787">
        <v>0.999</v>
      </c>
      <c r="P16" s="787">
        <v>1</v>
      </c>
      <c r="Q16" s="787">
        <v>1.0369999999999999</v>
      </c>
      <c r="R16" s="787">
        <v>1.0900000000000001</v>
      </c>
      <c r="S16" s="787">
        <v>1.133</v>
      </c>
      <c r="T16" s="787">
        <v>1.17</v>
      </c>
      <c r="U16" s="787">
        <v>1.202</v>
      </c>
      <c r="V16" s="787">
        <v>1.216</v>
      </c>
      <c r="W16" s="787">
        <v>1.232</v>
      </c>
      <c r="X16" s="787">
        <v>1.264</v>
      </c>
      <c r="Y16" s="787">
        <v>1.3140000000000001</v>
      </c>
      <c r="Z16" s="787">
        <v>1.347</v>
      </c>
      <c r="AA16" s="787">
        <v>1.383145292959149</v>
      </c>
      <c r="AB16" s="787">
        <v>1.4021837691182564</v>
      </c>
      <c r="AC16" s="787">
        <v>1.5121309689371012</v>
      </c>
    </row>
    <row r="17" spans="1:30" x14ac:dyDescent="0.3">
      <c r="A17" s="787">
        <v>2010</v>
      </c>
      <c r="B17" s="787">
        <v>0.67</v>
      </c>
      <c r="C17" s="787">
        <v>0.68899999999999995</v>
      </c>
      <c r="D17" s="787">
        <v>0.70899999999999996</v>
      </c>
      <c r="E17" s="787">
        <v>0.73199999999999998</v>
      </c>
      <c r="F17" s="787">
        <v>0.75</v>
      </c>
      <c r="G17" s="787">
        <v>0.76500000000000001</v>
      </c>
      <c r="H17" s="787">
        <v>0.78500000000000003</v>
      </c>
      <c r="I17" s="787">
        <v>0.79500000000000004</v>
      </c>
      <c r="J17" s="787">
        <v>0.81899999999999995</v>
      </c>
      <c r="K17" s="787">
        <v>0.84</v>
      </c>
      <c r="L17" s="787">
        <v>0.86699999999999999</v>
      </c>
      <c r="M17" s="787">
        <v>0.88800000000000001</v>
      </c>
      <c r="N17" s="787">
        <v>0.92500000000000004</v>
      </c>
      <c r="O17" s="787">
        <v>0.96299999999999997</v>
      </c>
      <c r="P17" s="787">
        <v>0.96399999999999997</v>
      </c>
      <c r="Q17" s="787">
        <v>1</v>
      </c>
      <c r="R17" s="787">
        <v>1.0509999999999999</v>
      </c>
      <c r="S17" s="787">
        <v>1.0920000000000001</v>
      </c>
      <c r="T17" s="787">
        <v>1.1279999999999999</v>
      </c>
      <c r="U17" s="787">
        <v>1.159</v>
      </c>
      <c r="V17" s="787">
        <v>1.1719999999999999</v>
      </c>
      <c r="W17" s="787">
        <v>1.1879999999999999</v>
      </c>
      <c r="X17" s="787">
        <v>1.218</v>
      </c>
      <c r="Y17" s="787">
        <v>1.2669999999999999</v>
      </c>
      <c r="Z17" s="787">
        <v>1.2989999999999999</v>
      </c>
      <c r="AA17" s="787">
        <v>1.3336662741868186</v>
      </c>
      <c r="AB17" s="787">
        <v>1.3520236902114136</v>
      </c>
      <c r="AC17" s="787">
        <v>1.4580377677534488</v>
      </c>
    </row>
    <row r="18" spans="1:30" x14ac:dyDescent="0.3">
      <c r="A18" s="787">
        <v>2011</v>
      </c>
      <c r="B18" s="787">
        <v>0.63800000000000001</v>
      </c>
      <c r="C18" s="787">
        <v>0.65600000000000003</v>
      </c>
      <c r="D18" s="787">
        <v>0.67400000000000004</v>
      </c>
      <c r="E18" s="787">
        <v>0.69699999999999995</v>
      </c>
      <c r="F18" s="787">
        <v>0.71399999999999997</v>
      </c>
      <c r="G18" s="787">
        <v>0.72799999999999998</v>
      </c>
      <c r="H18" s="787">
        <v>0.747</v>
      </c>
      <c r="I18" s="787">
        <v>0.75700000000000001</v>
      </c>
      <c r="J18" s="787">
        <v>0.77900000000000003</v>
      </c>
      <c r="K18" s="787">
        <v>0.8</v>
      </c>
      <c r="L18" s="787">
        <v>0.82499999999999996</v>
      </c>
      <c r="M18" s="787">
        <v>0.84499999999999997</v>
      </c>
      <c r="N18" s="787">
        <v>0.88</v>
      </c>
      <c r="O18" s="787">
        <v>0.91600000000000004</v>
      </c>
      <c r="P18" s="787">
        <v>0.91700000000000004</v>
      </c>
      <c r="Q18" s="787">
        <v>0.95199999999999996</v>
      </c>
      <c r="R18" s="787">
        <v>1</v>
      </c>
      <c r="S18" s="787">
        <v>1.0389999999999999</v>
      </c>
      <c r="T18" s="787">
        <v>1.073</v>
      </c>
      <c r="U18" s="787">
        <v>1.103</v>
      </c>
      <c r="V18" s="787">
        <v>1.115</v>
      </c>
      <c r="W18" s="787">
        <v>1.1299999999999999</v>
      </c>
      <c r="X18" s="787">
        <v>1.159</v>
      </c>
      <c r="Y18" s="787">
        <v>1.2050000000000001</v>
      </c>
      <c r="Z18" s="787">
        <v>1.236</v>
      </c>
      <c r="AA18" s="787">
        <v>1.2690705815841836</v>
      </c>
      <c r="AB18" s="787">
        <v>1.286538862129045</v>
      </c>
      <c r="AC18" s="787">
        <v>1.3874181822756195</v>
      </c>
    </row>
    <row r="19" spans="1:30" x14ac:dyDescent="0.3">
      <c r="A19" s="787">
        <v>2012</v>
      </c>
      <c r="B19" s="787">
        <v>0.61299999999999999</v>
      </c>
      <c r="C19" s="787">
        <v>0.63100000000000001</v>
      </c>
      <c r="D19" s="787">
        <v>0.64900000000000002</v>
      </c>
      <c r="E19" s="787">
        <v>0.67</v>
      </c>
      <c r="F19" s="787">
        <v>0.68700000000000006</v>
      </c>
      <c r="G19" s="787">
        <v>0.7</v>
      </c>
      <c r="H19" s="787">
        <v>0.71899999999999997</v>
      </c>
      <c r="I19" s="787">
        <v>0.72799999999999998</v>
      </c>
      <c r="J19" s="787">
        <v>0.75</v>
      </c>
      <c r="K19" s="787">
        <v>0.76900000000000002</v>
      </c>
      <c r="L19" s="787">
        <v>0.79400000000000004</v>
      </c>
      <c r="M19" s="787">
        <v>0.81299999999999994</v>
      </c>
      <c r="N19" s="787">
        <v>0.84699999999999998</v>
      </c>
      <c r="O19" s="787">
        <v>0.88200000000000001</v>
      </c>
      <c r="P19" s="787">
        <v>0.88300000000000001</v>
      </c>
      <c r="Q19" s="787">
        <v>0.91600000000000004</v>
      </c>
      <c r="R19" s="787">
        <v>0.96199999999999997</v>
      </c>
      <c r="S19" s="787">
        <v>1</v>
      </c>
      <c r="T19" s="787">
        <v>1.0329999999999999</v>
      </c>
      <c r="U19" s="787">
        <v>1.0609999999999999</v>
      </c>
      <c r="V19" s="787">
        <v>1.073</v>
      </c>
      <c r="W19" s="787">
        <v>1.087</v>
      </c>
      <c r="X19" s="787">
        <v>1.1160000000000001</v>
      </c>
      <c r="Y19" s="787">
        <v>1.1599999999999999</v>
      </c>
      <c r="Z19" s="787">
        <v>1.1890000000000001</v>
      </c>
      <c r="AA19" s="787">
        <v>1.2210820567537608</v>
      </c>
      <c r="AB19" s="787">
        <v>1.2378897932541568</v>
      </c>
      <c r="AC19" s="787">
        <v>1.334954471543943</v>
      </c>
    </row>
    <row r="20" spans="1:30" x14ac:dyDescent="0.3">
      <c r="A20" s="787">
        <v>2013</v>
      </c>
      <c r="B20" s="787">
        <v>0.59399999999999997</v>
      </c>
      <c r="C20" s="787">
        <v>0.61099999999999999</v>
      </c>
      <c r="D20" s="787">
        <v>0.628</v>
      </c>
      <c r="E20" s="787">
        <v>0.64900000000000002</v>
      </c>
      <c r="F20" s="787">
        <v>0.66500000000000004</v>
      </c>
      <c r="G20" s="787">
        <v>0.67800000000000005</v>
      </c>
      <c r="H20" s="787">
        <v>0.69599999999999995</v>
      </c>
      <c r="I20" s="787">
        <v>0.70499999999999996</v>
      </c>
      <c r="J20" s="787">
        <v>0.72599999999999998</v>
      </c>
      <c r="K20" s="787">
        <v>0.745</v>
      </c>
      <c r="L20" s="787">
        <v>0.76900000000000002</v>
      </c>
      <c r="M20" s="787">
        <v>0.78700000000000003</v>
      </c>
      <c r="N20" s="787">
        <v>0.82</v>
      </c>
      <c r="O20" s="787">
        <v>0.85399999999999998</v>
      </c>
      <c r="P20" s="787">
        <v>0.85499999999999998</v>
      </c>
      <c r="Q20" s="787">
        <v>0.88600000000000001</v>
      </c>
      <c r="R20" s="787">
        <v>0.93200000000000005</v>
      </c>
      <c r="S20" s="787">
        <v>0.96799999999999997</v>
      </c>
      <c r="T20" s="787">
        <v>1</v>
      </c>
      <c r="U20" s="787">
        <v>1.028</v>
      </c>
      <c r="V20" s="787">
        <v>1.0389999999999999</v>
      </c>
      <c r="W20" s="787">
        <v>1.0529999999999999</v>
      </c>
      <c r="X20" s="787">
        <v>1.08</v>
      </c>
      <c r="Y20" s="787">
        <v>1.123</v>
      </c>
      <c r="Z20" s="787">
        <v>1.151</v>
      </c>
      <c r="AA20" s="787">
        <v>1.1823025336500397</v>
      </c>
      <c r="AB20" s="787">
        <v>1.1985764845605702</v>
      </c>
      <c r="AC20" s="787">
        <v>1.2925585510688835</v>
      </c>
    </row>
    <row r="21" spans="1:30" x14ac:dyDescent="0.3">
      <c r="A21" s="787">
        <v>2014</v>
      </c>
      <c r="B21" s="787">
        <v>0.57799999999999996</v>
      </c>
      <c r="C21" s="787">
        <v>0.59499999999999997</v>
      </c>
      <c r="D21" s="787">
        <v>0.61099999999999999</v>
      </c>
      <c r="E21" s="787">
        <v>0.63100000000000001</v>
      </c>
      <c r="F21" s="787">
        <v>0.64700000000000002</v>
      </c>
      <c r="G21" s="787">
        <v>0.66</v>
      </c>
      <c r="H21" s="787">
        <v>0.67700000000000005</v>
      </c>
      <c r="I21" s="787">
        <v>0.68600000000000005</v>
      </c>
      <c r="J21" s="787">
        <v>0.70599999999999996</v>
      </c>
      <c r="K21" s="787">
        <v>0.72499999999999998</v>
      </c>
      <c r="L21" s="787">
        <v>0.748</v>
      </c>
      <c r="M21" s="787">
        <v>0.76600000000000001</v>
      </c>
      <c r="N21" s="787">
        <v>0.79800000000000004</v>
      </c>
      <c r="O21" s="787">
        <v>0.83099999999999996</v>
      </c>
      <c r="P21" s="787">
        <v>0.83199999999999996</v>
      </c>
      <c r="Q21" s="787">
        <v>0.86299999999999999</v>
      </c>
      <c r="R21" s="787">
        <v>0.90700000000000003</v>
      </c>
      <c r="S21" s="787">
        <v>0.94199999999999995</v>
      </c>
      <c r="T21" s="787">
        <v>0.97299999999999998</v>
      </c>
      <c r="U21" s="787">
        <v>1</v>
      </c>
      <c r="V21" s="787">
        <v>1.0109999999999999</v>
      </c>
      <c r="W21" s="787">
        <v>1.0249999999999999</v>
      </c>
      <c r="X21" s="787">
        <v>1.0509999999999999</v>
      </c>
      <c r="Y21" s="787">
        <v>1.093</v>
      </c>
      <c r="Z21" s="787">
        <v>1.1200000000000001</v>
      </c>
      <c r="AA21" s="787">
        <v>1.1504354711005544</v>
      </c>
      <c r="AB21" s="787">
        <v>1.1662707838479813</v>
      </c>
      <c r="AC21" s="787">
        <v>1.2577197149643706</v>
      </c>
    </row>
    <row r="22" spans="1:30" x14ac:dyDescent="0.3">
      <c r="A22" s="787">
        <v>2015</v>
      </c>
      <c r="B22" s="787">
        <v>0.57199999999999995</v>
      </c>
      <c r="C22" s="787">
        <v>0.58799999999999997</v>
      </c>
      <c r="D22" s="787">
        <v>0.60499999999999998</v>
      </c>
      <c r="E22" s="787">
        <v>0.625</v>
      </c>
      <c r="F22" s="787">
        <v>0.64</v>
      </c>
      <c r="G22" s="787">
        <v>0.65200000000000002</v>
      </c>
      <c r="H22" s="787">
        <v>0.67</v>
      </c>
      <c r="I22" s="787">
        <v>0.67900000000000005</v>
      </c>
      <c r="J22" s="787">
        <v>0.69899999999999995</v>
      </c>
      <c r="K22" s="787">
        <v>0.71699999999999997</v>
      </c>
      <c r="L22" s="787">
        <v>0.74</v>
      </c>
      <c r="M22" s="787">
        <v>0.75700000000000001</v>
      </c>
      <c r="N22" s="787">
        <v>0.78900000000000003</v>
      </c>
      <c r="O22" s="787">
        <v>0.82099999999999995</v>
      </c>
      <c r="P22" s="787">
        <v>0.82299999999999995</v>
      </c>
      <c r="Q22" s="787">
        <v>0.85299999999999998</v>
      </c>
      <c r="R22" s="787">
        <v>0.89700000000000002</v>
      </c>
      <c r="S22" s="787">
        <v>0.93200000000000005</v>
      </c>
      <c r="T22" s="787">
        <v>0.96199999999999997</v>
      </c>
      <c r="U22" s="787">
        <v>0.98899999999999999</v>
      </c>
      <c r="V22" s="787">
        <v>1</v>
      </c>
      <c r="W22" s="787">
        <v>1.0129999999999999</v>
      </c>
      <c r="X22" s="787">
        <v>1.04</v>
      </c>
      <c r="Y22" s="787">
        <v>1.081</v>
      </c>
      <c r="Z22" s="787">
        <v>1.1080000000000001</v>
      </c>
      <c r="AA22" s="787">
        <v>1.1378230227094752</v>
      </c>
      <c r="AB22" s="787">
        <v>1.1534847298355519</v>
      </c>
      <c r="AC22" s="787">
        <v>1.243931088488645</v>
      </c>
    </row>
    <row r="23" spans="1:30" x14ac:dyDescent="0.3">
      <c r="A23" s="787">
        <v>2016</v>
      </c>
      <c r="B23" s="787">
        <v>0.56399999999999995</v>
      </c>
      <c r="C23" s="787">
        <v>0.57999999999999996</v>
      </c>
      <c r="D23" s="787">
        <v>0.59699999999999998</v>
      </c>
      <c r="E23" s="787">
        <v>0.61599999999999999</v>
      </c>
      <c r="F23" s="787">
        <v>0.63100000000000001</v>
      </c>
      <c r="G23" s="787">
        <v>0.64400000000000002</v>
      </c>
      <c r="H23" s="787">
        <v>0.66100000000000003</v>
      </c>
      <c r="I23" s="787">
        <v>0.67</v>
      </c>
      <c r="J23" s="787">
        <v>0.68899999999999995</v>
      </c>
      <c r="K23" s="787">
        <v>0.70699999999999996</v>
      </c>
      <c r="L23" s="787">
        <v>0.73</v>
      </c>
      <c r="M23" s="787">
        <v>0.747</v>
      </c>
      <c r="N23" s="787">
        <v>0.77900000000000003</v>
      </c>
      <c r="O23" s="787">
        <v>0.81100000000000005</v>
      </c>
      <c r="P23" s="787">
        <v>0.81200000000000006</v>
      </c>
      <c r="Q23" s="787">
        <v>0.84199999999999997</v>
      </c>
      <c r="R23" s="787">
        <v>0.88500000000000001</v>
      </c>
      <c r="S23" s="787">
        <v>0.92</v>
      </c>
      <c r="T23" s="787">
        <v>0.95</v>
      </c>
      <c r="U23" s="787">
        <v>0.97599999999999998</v>
      </c>
      <c r="V23" s="787">
        <v>0.98699999999999999</v>
      </c>
      <c r="W23" s="787">
        <v>1</v>
      </c>
      <c r="X23" s="787">
        <v>1.026</v>
      </c>
      <c r="Y23" s="787">
        <v>1.0660000000000001</v>
      </c>
      <c r="Z23" s="787">
        <v>1.0940000000000001</v>
      </c>
      <c r="AA23" s="787">
        <v>1.1228748068006182</v>
      </c>
      <c r="AB23" s="787">
        <v>1.1383307573415766</v>
      </c>
      <c r="AC23" s="787">
        <v>1.2275888717156105</v>
      </c>
    </row>
    <row r="24" spans="1:30" x14ac:dyDescent="0.3">
      <c r="A24" s="787">
        <v>2017</v>
      </c>
      <c r="B24" s="787">
        <v>0.55000000000000004</v>
      </c>
      <c r="C24" s="787">
        <v>0.56599999999999995</v>
      </c>
      <c r="D24" s="787">
        <v>0.58199999999999996</v>
      </c>
      <c r="E24" s="787">
        <v>0.60099999999999998</v>
      </c>
      <c r="F24" s="787">
        <v>0.61499999999999999</v>
      </c>
      <c r="G24" s="787">
        <v>0.627</v>
      </c>
      <c r="H24" s="787">
        <v>0.64400000000000002</v>
      </c>
      <c r="I24" s="787">
        <v>0.65300000000000002</v>
      </c>
      <c r="J24" s="787">
        <v>0.67200000000000004</v>
      </c>
      <c r="K24" s="787">
        <v>0.69</v>
      </c>
      <c r="L24" s="787">
        <v>0.71099999999999997</v>
      </c>
      <c r="M24" s="787">
        <v>0.72799999999999998</v>
      </c>
      <c r="N24" s="787">
        <v>0.75900000000000001</v>
      </c>
      <c r="O24" s="787">
        <v>0.79</v>
      </c>
      <c r="P24" s="787">
        <v>0.79100000000000004</v>
      </c>
      <c r="Q24" s="787">
        <v>0.82099999999999995</v>
      </c>
      <c r="R24" s="787">
        <v>0.86299999999999999</v>
      </c>
      <c r="S24" s="787">
        <v>0.89600000000000002</v>
      </c>
      <c r="T24" s="787">
        <v>0.92600000000000005</v>
      </c>
      <c r="U24" s="787">
        <v>0.95099999999999996</v>
      </c>
      <c r="V24" s="787">
        <v>0.96199999999999997</v>
      </c>
      <c r="W24" s="787">
        <v>0.97499999999999998</v>
      </c>
      <c r="X24" s="787">
        <v>1</v>
      </c>
      <c r="Y24" s="787">
        <v>1.04</v>
      </c>
      <c r="Z24" s="787">
        <v>1.0660000000000001</v>
      </c>
      <c r="AA24" s="787">
        <v>1.0945386064030131</v>
      </c>
      <c r="AB24" s="787">
        <v>1.1096045197740112</v>
      </c>
      <c r="AC24" s="787">
        <v>1.1966101694915252</v>
      </c>
    </row>
    <row r="25" spans="1:30" x14ac:dyDescent="0.3">
      <c r="A25" s="787">
        <v>2018</v>
      </c>
      <c r="B25" s="787">
        <v>0.52900000000000003</v>
      </c>
      <c r="C25" s="787">
        <v>0.54400000000000004</v>
      </c>
      <c r="D25" s="787">
        <v>0.55900000000000005</v>
      </c>
      <c r="E25" s="787">
        <v>0.57799999999999996</v>
      </c>
      <c r="F25" s="787">
        <v>0.59199999999999997</v>
      </c>
      <c r="G25" s="787">
        <v>0.60399999999999998</v>
      </c>
      <c r="H25" s="787">
        <v>0.62</v>
      </c>
      <c r="I25" s="787">
        <v>0.628</v>
      </c>
      <c r="J25" s="787">
        <v>0.64600000000000002</v>
      </c>
      <c r="K25" s="787">
        <v>0.66300000000000003</v>
      </c>
      <c r="L25" s="787">
        <v>0.68400000000000005</v>
      </c>
      <c r="M25" s="787">
        <v>0.70099999999999996</v>
      </c>
      <c r="N25" s="787">
        <v>0.73</v>
      </c>
      <c r="O25" s="787">
        <v>0.76</v>
      </c>
      <c r="P25" s="787">
        <v>0.76100000000000001</v>
      </c>
      <c r="Q25" s="787">
        <v>0.78900000000000003</v>
      </c>
      <c r="R25" s="787">
        <v>0.83</v>
      </c>
      <c r="S25" s="787">
        <v>0.86199999999999999</v>
      </c>
      <c r="T25" s="787">
        <v>0.89100000000000001</v>
      </c>
      <c r="U25" s="787">
        <v>0.91500000000000004</v>
      </c>
      <c r="V25" s="787">
        <v>0.92500000000000004</v>
      </c>
      <c r="W25" s="787">
        <v>0.93799999999999994</v>
      </c>
      <c r="X25" s="787">
        <v>0.96199999999999997</v>
      </c>
      <c r="Y25" s="787">
        <v>1</v>
      </c>
      <c r="Z25" s="787">
        <v>1.0249999999999999</v>
      </c>
      <c r="AA25" s="787">
        <v>1.0528985507246376</v>
      </c>
      <c r="AB25" s="787">
        <v>1.067391304347826</v>
      </c>
      <c r="AC25" s="787">
        <v>1.151086956521739</v>
      </c>
    </row>
    <row r="26" spans="1:30" x14ac:dyDescent="0.3">
      <c r="A26" s="787">
        <v>2019</v>
      </c>
      <c r="B26" s="787">
        <v>0.51600000000000001</v>
      </c>
      <c r="C26" s="787">
        <v>0.53100000000000003</v>
      </c>
      <c r="D26" s="787">
        <v>0.54500000000000004</v>
      </c>
      <c r="E26" s="787">
        <v>1.5629999999999999</v>
      </c>
      <c r="F26" s="787">
        <v>0.57699999999999996</v>
      </c>
      <c r="G26" s="787">
        <v>0.58899999999999997</v>
      </c>
      <c r="H26" s="787">
        <v>0.60399999999999998</v>
      </c>
      <c r="I26" s="787">
        <v>0.61199999999999999</v>
      </c>
      <c r="J26" s="787">
        <v>0.63</v>
      </c>
      <c r="K26" s="787">
        <v>0.64700000000000002</v>
      </c>
      <c r="L26" s="787">
        <v>0.66700000000000004</v>
      </c>
      <c r="M26" s="787">
        <v>0.68400000000000005</v>
      </c>
      <c r="N26" s="787">
        <v>0.71199999999999997</v>
      </c>
      <c r="O26" s="787">
        <v>0.74099999999999999</v>
      </c>
      <c r="P26" s="787">
        <v>0.74199999999999999</v>
      </c>
      <c r="Q26" s="787">
        <v>0.76900000000000002</v>
      </c>
      <c r="R26" s="787">
        <v>0.80900000000000005</v>
      </c>
      <c r="S26" s="787">
        <v>0.84099999999999997</v>
      </c>
      <c r="T26" s="787">
        <v>0.86899999999999999</v>
      </c>
      <c r="U26" s="787">
        <v>0.89200000000000002</v>
      </c>
      <c r="V26" s="787">
        <v>0.90200000000000002</v>
      </c>
      <c r="W26" s="787">
        <v>0.91500000000000004</v>
      </c>
      <c r="X26" s="787">
        <v>0.93799999999999994</v>
      </c>
      <c r="Y26" s="787">
        <v>0.97499999999999998</v>
      </c>
      <c r="Z26" s="787">
        <v>1</v>
      </c>
      <c r="AA26" s="787">
        <v>1.0268551236749117</v>
      </c>
      <c r="AB26" s="787">
        <v>1.0409893992932864</v>
      </c>
      <c r="AC26" s="787">
        <v>1.1226148409893992</v>
      </c>
    </row>
    <row r="27" spans="1:30" x14ac:dyDescent="0.3">
      <c r="A27" s="787">
        <v>2020</v>
      </c>
      <c r="B27" s="787">
        <v>0.50250516173434268</v>
      </c>
      <c r="C27" s="787">
        <v>0.51711286992429462</v>
      </c>
      <c r="D27" s="787">
        <v>0.53074673090158297</v>
      </c>
      <c r="E27" s="787">
        <v>1.52212319339298</v>
      </c>
      <c r="F27" s="787">
        <v>0.56190984170681346</v>
      </c>
      <c r="G27" s="787">
        <v>0.57359600825877488</v>
      </c>
      <c r="H27" s="787">
        <v>0.58820371644872671</v>
      </c>
      <c r="I27" s="787">
        <v>0.59599449415003436</v>
      </c>
      <c r="J27" s="787">
        <v>0.6135237439779766</v>
      </c>
      <c r="K27" s="787">
        <v>0.63007914659325537</v>
      </c>
      <c r="L27" s="787">
        <v>0.64955609084652444</v>
      </c>
      <c r="M27" s="787">
        <v>0.66611149346180321</v>
      </c>
      <c r="N27" s="787">
        <v>0.69337921541637981</v>
      </c>
      <c r="O27" s="787">
        <v>0.72162078458362</v>
      </c>
      <c r="P27" s="787">
        <v>0.72259463179628347</v>
      </c>
      <c r="Q27" s="787">
        <v>0.74888850653819683</v>
      </c>
      <c r="R27" s="787">
        <v>0.78784239504473508</v>
      </c>
      <c r="S27" s="787">
        <v>0.81900550584996556</v>
      </c>
      <c r="T27" s="787">
        <v>0.84627322780454228</v>
      </c>
      <c r="U27" s="787">
        <v>0.86867171369580176</v>
      </c>
      <c r="V27" s="787">
        <v>0.87841018582243635</v>
      </c>
      <c r="W27" s="787">
        <v>0.89107019958706124</v>
      </c>
      <c r="X27" s="787">
        <v>0.91346868547832061</v>
      </c>
      <c r="Y27" s="787">
        <v>0.94950103234686845</v>
      </c>
      <c r="Z27" s="787">
        <v>0.97384721266345486</v>
      </c>
      <c r="AA27" s="787">
        <v>1</v>
      </c>
      <c r="AB27" s="787">
        <v>1.0137646249139711</v>
      </c>
      <c r="AC27" s="787">
        <v>1.093255333792154</v>
      </c>
    </row>
    <row r="28" spans="1:30" x14ac:dyDescent="0.3">
      <c r="A28" s="787">
        <v>2021</v>
      </c>
      <c r="B28" s="787">
        <v>0.49568228105906303</v>
      </c>
      <c r="C28" s="787">
        <v>0.51009164969450105</v>
      </c>
      <c r="D28" s="787">
        <v>0.52354039375424311</v>
      </c>
      <c r="E28" s="787">
        <v>1.5014562118126271</v>
      </c>
      <c r="F28" s="787">
        <v>0.55428038017651049</v>
      </c>
      <c r="G28" s="787">
        <v>0.56580787508486075</v>
      </c>
      <c r="H28" s="787">
        <v>0.58021724372029859</v>
      </c>
      <c r="I28" s="787">
        <v>0.58790224032586547</v>
      </c>
      <c r="J28" s="787">
        <v>0.60519348268839102</v>
      </c>
      <c r="K28" s="787">
        <v>0.62152410047522066</v>
      </c>
      <c r="L28" s="787">
        <v>0.64073659198913779</v>
      </c>
      <c r="M28" s="787">
        <v>0.65706720977596744</v>
      </c>
      <c r="N28" s="787">
        <v>0.68396469789545133</v>
      </c>
      <c r="O28" s="787">
        <v>0.71182281059063124</v>
      </c>
      <c r="P28" s="787">
        <v>0.71278343516632714</v>
      </c>
      <c r="Q28" s="787">
        <v>0.73872029871011535</v>
      </c>
      <c r="R28" s="787">
        <v>0.77714528173794983</v>
      </c>
      <c r="S28" s="787">
        <v>0.80788526816021722</v>
      </c>
      <c r="T28" s="787">
        <v>0.83478275627970122</v>
      </c>
      <c r="U28" s="787">
        <v>0.85687712152070594</v>
      </c>
      <c r="V28" s="787">
        <v>0.86648336727766462</v>
      </c>
      <c r="W28" s="787">
        <v>0.87897148676171077</v>
      </c>
      <c r="X28" s="787">
        <v>0.90106585200271538</v>
      </c>
      <c r="Y28" s="787">
        <v>0.93660896130346216</v>
      </c>
      <c r="Z28" s="787">
        <v>0.96062457569585868</v>
      </c>
      <c r="AA28" s="787">
        <v>0.98642226748133055</v>
      </c>
      <c r="AB28" s="787">
        <v>1</v>
      </c>
      <c r="AC28" s="787">
        <v>1.0784114052953155</v>
      </c>
    </row>
    <row r="29" spans="1:30" x14ac:dyDescent="0.3">
      <c r="A29" s="787">
        <v>2022</v>
      </c>
      <c r="B29" s="787">
        <v>0.45964117091595841</v>
      </c>
      <c r="C29" s="787">
        <v>0.47300283286118988</v>
      </c>
      <c r="D29" s="787">
        <v>0.48547371734340583</v>
      </c>
      <c r="E29" s="787">
        <v>1.3922851746931066</v>
      </c>
      <c r="F29" s="787">
        <v>0.51397859615989927</v>
      </c>
      <c r="G29" s="787">
        <v>0.52466792571608434</v>
      </c>
      <c r="H29" s="787">
        <v>0.5380295876613157</v>
      </c>
      <c r="I29" s="787">
        <v>0.545155807365439</v>
      </c>
      <c r="J29" s="787">
        <v>0.56118980169971677</v>
      </c>
      <c r="K29" s="787">
        <v>0.57633301857097896</v>
      </c>
      <c r="L29" s="787">
        <v>0.59414856783128744</v>
      </c>
      <c r="M29" s="787">
        <v>0.60929178470254963</v>
      </c>
      <c r="N29" s="787">
        <v>0.63423355366698142</v>
      </c>
      <c r="O29" s="787">
        <v>0.66006610009442868</v>
      </c>
      <c r="P29" s="787">
        <v>0.66095687755744414</v>
      </c>
      <c r="Q29" s="787">
        <v>0.68500786905886057</v>
      </c>
      <c r="R29" s="787">
        <v>0.72063896757947765</v>
      </c>
      <c r="S29" s="787">
        <v>0.74914384639597109</v>
      </c>
      <c r="T29" s="787">
        <v>0.77408561536040299</v>
      </c>
      <c r="U29" s="787">
        <v>0.79457349700975766</v>
      </c>
      <c r="V29" s="787">
        <v>0.80348127163991201</v>
      </c>
      <c r="W29" s="787">
        <v>0.81506137865911243</v>
      </c>
      <c r="X29" s="787">
        <v>0.8355492603084671</v>
      </c>
      <c r="Y29" s="787">
        <v>0.86850802644003777</v>
      </c>
      <c r="Z29" s="787">
        <v>0.89077746301542338</v>
      </c>
      <c r="AA29" s="787">
        <v>0.91469940195152666</v>
      </c>
      <c r="AB29" s="787">
        <v>0.92728989612842316</v>
      </c>
      <c r="AC29" s="787">
        <v>1</v>
      </c>
      <c r="AD29">
        <v>1</v>
      </c>
    </row>
  </sheetData>
  <sheetProtection algorithmName="SHA-512" hashValue="feAbYm1txsRWZfHZNReZ9X/Zh/cRJeNS6Y9xfXSMJtlsq3UOYTLDg/H2MMswmxaqrl09ezNQ8bpJTMxVL7oPoA==" saltValue="y7MFN3xqJDl5G/j31Sn4GQ=="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Output09">
    <tabColor theme="7" tint="-0.499984740745262"/>
    <outlinePr showOutlineSymbols="0"/>
    <pageSetUpPr autoPageBreaks="0" fitToPage="1"/>
  </sheetPr>
  <dimension ref="A1:AB71"/>
  <sheetViews>
    <sheetView showGridLines="0" showRowColHeaders="0" showZeros="0" showOutlineSymbols="0" topLeftCell="A2" zoomScaleNormal="100" workbookViewId="0">
      <pane ySplit="6" topLeftCell="A8" activePane="bottomLeft" state="frozen"/>
      <selection activeCell="M48" sqref="M48"/>
      <selection pane="bottomLeft" activeCell="A8" sqref="A8"/>
    </sheetView>
  </sheetViews>
  <sheetFormatPr defaultColWidth="4.88671875" defaultRowHeight="16.2" customHeight="1" x14ac:dyDescent="0.3"/>
  <cols>
    <col min="1" max="1" width="7" style="111" bestFit="1" customWidth="1"/>
    <col min="2"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27" width="5.6640625" style="111" customWidth="1"/>
    <col min="28" max="28" width="7.6640625" style="111" customWidth="1"/>
    <col min="29" max="16384" width="4.88671875" style="111"/>
  </cols>
  <sheetData>
    <row r="1" spans="1:28" ht="16.2" hidden="1" customHeight="1" thickTop="1" thickBot="1" x14ac:dyDescent="0.35">
      <c r="A1" s="110" t="str">
        <f ca="1">MID(CELL("filename",A1),FIND("]",CELL("filename",A1))+1,255)</f>
        <v>MONTHLY DISTRIBUTION</v>
      </c>
      <c r="E1" s="113"/>
      <c r="F1" s="114"/>
      <c r="G1" s="114"/>
      <c r="H1" s="114"/>
      <c r="I1" s="114"/>
      <c r="J1" s="114"/>
      <c r="K1" s="114"/>
      <c r="L1" s="114"/>
      <c r="M1" s="114"/>
      <c r="N1" s="114"/>
      <c r="O1" s="114"/>
      <c r="P1" s="114"/>
      <c r="Q1" s="114"/>
      <c r="R1" s="114"/>
      <c r="S1" s="114"/>
      <c r="T1" s="114"/>
      <c r="U1" s="114"/>
      <c r="V1" s="114"/>
      <c r="W1" s="114"/>
      <c r="X1" s="115"/>
    </row>
    <row r="2" spans="1:28" ht="16.2" customHeight="1" thickTop="1" x14ac:dyDescent="0.3">
      <c r="A2" s="618">
        <f>IF(($A$3/1000000)&gt;1,1000000,IF(($A$3/1000)&gt;1,1000,1))</f>
        <v>1000</v>
      </c>
      <c r="B2" s="618">
        <f>IF((B3/1000000)&gt;1,1000000,IF((B3/1000)&gt;1,1000,1))</f>
        <v>1</v>
      </c>
      <c r="C2" s="618">
        <f>IF((C3/1000000)&gt;1,1000000,IF((C3/1000)&gt;1,1000,1))</f>
        <v>1000</v>
      </c>
      <c r="D2" s="619"/>
      <c r="E2" s="116"/>
      <c r="F2" s="117"/>
      <c r="G2" s="117"/>
      <c r="H2" s="117"/>
      <c r="I2" s="117"/>
      <c r="J2" s="117"/>
      <c r="K2" s="117"/>
      <c r="L2" s="117"/>
      <c r="M2" s="117"/>
      <c r="N2" s="117"/>
      <c r="O2" s="117"/>
      <c r="P2" s="117"/>
      <c r="Q2" s="117"/>
      <c r="R2" s="117"/>
      <c r="S2" s="117"/>
      <c r="T2" s="117"/>
      <c r="U2" s="117"/>
      <c r="V2" s="117"/>
      <c r="W2" s="117"/>
      <c r="X2" s="118"/>
    </row>
    <row r="3" spans="1:28" ht="26.4" customHeight="1" x14ac:dyDescent="0.3">
      <c r="A3" s="620">
        <f>MIN($F44:$Q44)+MIN($F45:$Q45)+MIN($F46:$Q46)+MIN($F47:$Q47)</f>
        <v>115740.07429233307</v>
      </c>
      <c r="B3" s="620">
        <f>MIN($F48:$Q48)+MIN($F49:$Q49)+MIN($F50:$Q50)+MIN($F51:$Q51)</f>
        <v>900.03698353672314</v>
      </c>
      <c r="C3" s="620">
        <f>MIN($F52:$Q52)+MIN($F53:$Q53)+MIN($F54:$Q54)+MIN($F55:$Q55)</f>
        <v>1815.5555543033802</v>
      </c>
      <c r="D3" s="619"/>
      <c r="E3" s="119"/>
      <c r="F3" s="120"/>
      <c r="G3" s="120"/>
      <c r="H3" s="120"/>
      <c r="I3" s="120"/>
      <c r="J3" s="120"/>
      <c r="K3" s="120"/>
      <c r="L3" s="120"/>
      <c r="M3" s="120"/>
      <c r="N3" s="120"/>
      <c r="O3" s="120"/>
      <c r="P3" s="120"/>
      <c r="Q3" s="120"/>
      <c r="R3" s="120"/>
      <c r="S3" s="120"/>
      <c r="T3" s="120"/>
      <c r="U3" s="120"/>
      <c r="V3" s="120"/>
      <c r="W3" s="120"/>
      <c r="X3" s="121"/>
    </row>
    <row r="4" spans="1:28" ht="26.4" customHeight="1" x14ac:dyDescent="0.3">
      <c r="A4" s="621" t="str">
        <f>IF(A$2=1,"£000s",IF(A$2=1000,"£M","£Bn"))</f>
        <v>£M</v>
      </c>
      <c r="B4" s="621" t="str">
        <f>IF(B$2=1,"000s",IF(B$2=1000,"M","Bn"))</f>
        <v>000s</v>
      </c>
      <c r="C4" s="621" t="str">
        <f>IF(C$2=1,"000s",IF(C$2=1000,"M","Bn"))</f>
        <v>M</v>
      </c>
      <c r="D4" s="619"/>
      <c r="E4" s="204"/>
      <c r="F4" s="205"/>
      <c r="G4" s="205"/>
      <c r="H4" s="205"/>
      <c r="I4" s="205"/>
      <c r="J4" s="205"/>
      <c r="K4" s="205"/>
      <c r="L4" s="205"/>
      <c r="M4" s="205"/>
      <c r="N4" s="205"/>
      <c r="O4" s="205"/>
      <c r="P4" s="205"/>
      <c r="Q4" s="205"/>
      <c r="R4" s="205"/>
      <c r="S4" s="205"/>
      <c r="T4" s="205"/>
      <c r="U4" s="205"/>
      <c r="V4" s="205"/>
      <c r="W4" s="205"/>
      <c r="X4" s="206"/>
    </row>
    <row r="5" spans="1:28" ht="26.4" customHeight="1" thickBot="1" x14ac:dyDescent="0.35">
      <c r="A5" s="621"/>
      <c r="B5" s="621"/>
      <c r="C5" s="621"/>
      <c r="D5" s="619"/>
      <c r="E5" s="207"/>
      <c r="F5" s="208"/>
      <c r="G5" s="208"/>
      <c r="H5" s="208"/>
      <c r="I5" s="208"/>
      <c r="J5" s="208"/>
      <c r="K5" s="208"/>
      <c r="L5" s="208"/>
      <c r="M5" s="406" t="str">
        <f>"INDEXATION TO "&amp;MAX(REP.yearsrange)&amp;" PRICES"</f>
        <v>INDEXATION TO 2022 PRICES</v>
      </c>
      <c r="N5" s="208"/>
      <c r="O5" s="208"/>
      <c r="P5" s="208"/>
      <c r="Q5" s="208"/>
      <c r="R5" s="208"/>
      <c r="S5" s="208"/>
      <c r="T5" s="208"/>
      <c r="U5" s="208"/>
      <c r="V5" s="208"/>
      <c r="W5" s="208"/>
      <c r="X5" s="209"/>
    </row>
    <row r="6" spans="1:28" ht="16.2" customHeight="1" thickTop="1" x14ac:dyDescent="0.3">
      <c r="A6" s="617"/>
      <c r="E6" s="407" t="str">
        <f>REP.title1</f>
        <v>STEAM FINAL TREND REPORT FOR 2011-2022</v>
      </c>
      <c r="F6" s="408"/>
      <c r="G6" s="408"/>
      <c r="H6" s="408"/>
      <c r="I6" s="408"/>
      <c r="J6" s="408"/>
      <c r="K6" s="408"/>
      <c r="L6" s="408"/>
      <c r="M6" s="408"/>
      <c r="N6" s="408"/>
      <c r="O6" s="958">
        <f>CHARTYEAR</f>
        <v>2022</v>
      </c>
      <c r="P6" s="959"/>
      <c r="Q6" s="959"/>
      <c r="R6" s="960"/>
      <c r="S6" s="964" t="str">
        <f>UPPER(TOTAL)</f>
        <v>TOTAL</v>
      </c>
      <c r="T6" s="965"/>
      <c r="U6" s="974" t="str">
        <f>IF(REP.indexed="YES","DISTRIBUTION BY MONTH"&amp;CHAR(10)&amp;"Indexed","DISTRIBUTION BY MONTH"&amp;CHAR(10)&amp;"Historic Prices")</f>
        <v>DISTRIBUTION BY MONTH
Historic Prices</v>
      </c>
      <c r="V6" s="975"/>
      <c r="W6" s="975"/>
      <c r="X6" s="976"/>
    </row>
    <row r="7" spans="1:28" ht="16.2" customHeight="1" thickBot="1" x14ac:dyDescent="0.35">
      <c r="E7" s="409" t="str">
        <f>REP.title2</f>
        <v>NORTH WALES</v>
      </c>
      <c r="F7" s="410"/>
      <c r="G7" s="410"/>
      <c r="H7" s="410"/>
      <c r="I7" s="411"/>
      <c r="J7" s="411"/>
      <c r="K7" s="411"/>
      <c r="L7" s="411"/>
      <c r="M7" s="411"/>
      <c r="N7" s="411"/>
      <c r="O7" s="961" t="str">
        <f>IF(REP.indexed="YES",MAX(REP.yearsrange)&amp;" Prices","Historic Prices")</f>
        <v>Historic Prices</v>
      </c>
      <c r="P7" s="962"/>
      <c r="Q7" s="962"/>
      <c r="R7" s="963"/>
      <c r="S7" s="966"/>
      <c r="T7" s="967"/>
      <c r="U7" s="977"/>
      <c r="V7" s="978"/>
      <c r="W7" s="978"/>
      <c r="X7" s="979"/>
    </row>
    <row r="8" spans="1:28" ht="16.2" customHeight="1" thickTop="1" thickBot="1" x14ac:dyDescent="0.35">
      <c r="E8" s="876" t="str">
        <f>IF(REP.indexed="YES","ECONOMIC IMPACT - "&amp;CHARTYEAR&amp;" Indexed - "&amp;$A$4,"Economic Impact - Historic Prices - "&amp;$A$4)&amp;" - Distribution of Impact by Month"</f>
        <v>Economic Impact - Historic Prices - £M - Distribution of Impact by Month</v>
      </c>
      <c r="F8" s="877"/>
      <c r="G8" s="877"/>
      <c r="H8" s="877"/>
      <c r="I8" s="877"/>
      <c r="J8" s="877"/>
      <c r="K8" s="877"/>
      <c r="L8" s="877"/>
      <c r="M8" s="877"/>
      <c r="N8" s="877"/>
      <c r="O8" s="945" t="str">
        <f ca="1">PROPER('VISITOR NUMBERS'!$U$6)&amp;" - "&amp;CHARTYEAR&amp;" - "&amp;$B$4&amp;" - Distribution of Impact by Month"</f>
        <v>Visitor Numbers - 2022 - 000s - Distribution of Impact by Month</v>
      </c>
      <c r="P8" s="946"/>
      <c r="Q8" s="946"/>
      <c r="R8" s="946"/>
      <c r="S8" s="946"/>
      <c r="T8" s="946"/>
      <c r="U8" s="946"/>
      <c r="V8" s="946"/>
      <c r="W8" s="946"/>
      <c r="X8" s="947"/>
    </row>
    <row r="9" spans="1:28" s="125" customFormat="1" ht="16.2" customHeight="1" thickTop="1" x14ac:dyDescent="0.3">
      <c r="E9" s="425"/>
      <c r="F9" s="423"/>
      <c r="G9" s="423"/>
      <c r="H9" s="423"/>
      <c r="I9" s="423"/>
      <c r="J9" s="423"/>
      <c r="K9" s="423"/>
      <c r="L9" s="423"/>
      <c r="M9" s="423"/>
      <c r="N9" s="423"/>
      <c r="O9" s="423"/>
      <c r="P9" s="423"/>
      <c r="Q9" s="423"/>
      <c r="R9" s="423"/>
      <c r="S9" s="423"/>
      <c r="T9" s="423"/>
      <c r="U9" s="423"/>
      <c r="V9" s="423"/>
      <c r="W9" s="423"/>
      <c r="X9" s="424"/>
    </row>
    <row r="10" spans="1:28" s="125" customFormat="1" ht="16.2" customHeight="1" x14ac:dyDescent="0.3">
      <c r="E10" s="142"/>
      <c r="F10" s="143"/>
      <c r="G10" s="143"/>
      <c r="H10" s="143"/>
      <c r="I10" s="143"/>
      <c r="J10" s="143"/>
      <c r="K10" s="143"/>
      <c r="L10" s="143"/>
      <c r="M10" s="143"/>
      <c r="N10" s="143"/>
      <c r="O10" s="143"/>
      <c r="P10" s="143"/>
      <c r="Q10" s="143"/>
      <c r="R10" s="143"/>
      <c r="S10" s="143"/>
      <c r="T10" s="143"/>
      <c r="U10" s="143"/>
      <c r="V10" s="143"/>
      <c r="W10" s="143"/>
      <c r="X10" s="426"/>
      <c r="Z10" s="485"/>
      <c r="AA10" s="484"/>
      <c r="AB10" s="483"/>
    </row>
    <row r="11" spans="1:28" s="125" customFormat="1" ht="16.2" customHeight="1" x14ac:dyDescent="0.3">
      <c r="E11" s="142"/>
      <c r="F11" s="143"/>
      <c r="G11" s="143"/>
      <c r="H11" s="143"/>
      <c r="I11" s="143"/>
      <c r="J11" s="143"/>
      <c r="K11" s="143"/>
      <c r="L11" s="143"/>
      <c r="M11" s="143"/>
      <c r="N11" s="143"/>
      <c r="O11" s="143"/>
      <c r="P11" s="143"/>
      <c r="Q11" s="143"/>
      <c r="R11" s="143"/>
      <c r="S11" s="143"/>
      <c r="T11" s="143"/>
      <c r="U11" s="143"/>
      <c r="V11" s="143"/>
      <c r="W11" s="143"/>
      <c r="X11" s="426"/>
      <c r="Z11" s="485"/>
      <c r="AA11" s="484"/>
      <c r="AB11" s="483"/>
    </row>
    <row r="12" spans="1:28" ht="16.2" customHeight="1" x14ac:dyDescent="0.3">
      <c r="E12" s="609"/>
      <c r="F12" s="413"/>
      <c r="G12" s="413"/>
      <c r="H12" s="413"/>
      <c r="I12" s="413"/>
      <c r="J12" s="413"/>
      <c r="K12" s="413"/>
      <c r="L12" s="413"/>
      <c r="M12" s="413"/>
      <c r="N12" s="413"/>
      <c r="O12" s="413"/>
      <c r="P12" s="413"/>
      <c r="Q12" s="413"/>
      <c r="R12" s="413"/>
      <c r="S12" s="413"/>
      <c r="T12" s="413"/>
      <c r="U12" s="413"/>
      <c r="V12" s="413"/>
      <c r="W12" s="413"/>
      <c r="X12" s="414"/>
      <c r="Z12" s="485"/>
      <c r="AA12" s="484"/>
      <c r="AB12" s="483"/>
    </row>
    <row r="13" spans="1:28" ht="16.2" customHeight="1" x14ac:dyDescent="0.3">
      <c r="E13" s="610"/>
      <c r="F13" s="429"/>
      <c r="G13" s="429"/>
      <c r="H13" s="429"/>
      <c r="I13" s="429"/>
      <c r="J13" s="429"/>
      <c r="K13" s="429"/>
      <c r="L13" s="429"/>
      <c r="M13" s="429"/>
      <c r="N13" s="429"/>
      <c r="O13" s="429"/>
      <c r="P13" s="429"/>
      <c r="Q13" s="429"/>
      <c r="R13" s="429"/>
      <c r="S13" s="429"/>
      <c r="T13" s="429"/>
      <c r="U13" s="429"/>
      <c r="V13" s="429"/>
      <c r="W13" s="429"/>
      <c r="X13" s="430"/>
      <c r="Z13" s="485"/>
      <c r="AA13" s="484"/>
      <c r="AB13" s="483"/>
    </row>
    <row r="14" spans="1:28" ht="16.2" customHeight="1" x14ac:dyDescent="0.3">
      <c r="E14" s="610"/>
      <c r="F14" s="429"/>
      <c r="G14" s="429"/>
      <c r="H14" s="429"/>
      <c r="I14" s="429"/>
      <c r="J14" s="429"/>
      <c r="K14" s="429"/>
      <c r="L14" s="429"/>
      <c r="M14" s="429"/>
      <c r="N14" s="429"/>
      <c r="O14" s="429"/>
      <c r="P14" s="429"/>
      <c r="Q14" s="429"/>
      <c r="R14" s="429"/>
      <c r="S14" s="429"/>
      <c r="T14" s="429"/>
      <c r="U14" s="429"/>
      <c r="V14" s="429"/>
      <c r="W14" s="429"/>
      <c r="X14" s="430"/>
      <c r="Z14" s="485"/>
      <c r="AA14" s="484"/>
      <c r="AB14" s="483"/>
    </row>
    <row r="15" spans="1:28" ht="16.2" customHeight="1" x14ac:dyDescent="0.3">
      <c r="E15" s="610"/>
      <c r="F15" s="429"/>
      <c r="G15" s="429"/>
      <c r="H15" s="429"/>
      <c r="I15" s="429"/>
      <c r="J15" s="429"/>
      <c r="K15" s="429"/>
      <c r="L15" s="429"/>
      <c r="M15" s="429"/>
      <c r="N15" s="429"/>
      <c r="O15" s="429"/>
      <c r="P15" s="429"/>
      <c r="Q15" s="429"/>
      <c r="R15" s="429"/>
      <c r="S15" s="429"/>
      <c r="T15" s="429"/>
      <c r="U15" s="429"/>
      <c r="V15" s="429"/>
      <c r="W15" s="429"/>
      <c r="X15" s="430"/>
      <c r="Z15" s="485"/>
      <c r="AA15" s="484"/>
      <c r="AB15" s="483"/>
    </row>
    <row r="16" spans="1:28" ht="16.2" customHeight="1" x14ac:dyDescent="0.3">
      <c r="E16" s="611"/>
      <c r="F16" s="417"/>
      <c r="G16" s="417"/>
      <c r="H16" s="417"/>
      <c r="I16" s="417"/>
      <c r="J16" s="417"/>
      <c r="K16" s="417"/>
      <c r="L16" s="417"/>
      <c r="M16" s="417"/>
      <c r="N16" s="417"/>
      <c r="O16" s="417"/>
      <c r="P16" s="417"/>
      <c r="Q16" s="417"/>
      <c r="R16" s="417"/>
      <c r="S16" s="417"/>
      <c r="T16" s="417"/>
      <c r="U16" s="417"/>
      <c r="V16" s="417"/>
      <c r="W16" s="417"/>
      <c r="X16" s="419"/>
      <c r="Y16" s="270"/>
      <c r="Z16" s="485"/>
      <c r="AA16" s="484"/>
      <c r="AB16" s="483"/>
    </row>
    <row r="17" spans="4:28" ht="16.2" customHeight="1" x14ac:dyDescent="0.3">
      <c r="E17" s="611"/>
      <c r="F17" s="417"/>
      <c r="G17" s="417"/>
      <c r="H17" s="417"/>
      <c r="I17" s="417"/>
      <c r="J17" s="417"/>
      <c r="K17" s="417"/>
      <c r="L17" s="417"/>
      <c r="M17" s="417"/>
      <c r="N17" s="417"/>
      <c r="O17" s="417"/>
      <c r="P17" s="417"/>
      <c r="Q17" s="417"/>
      <c r="R17" s="417"/>
      <c r="S17" s="417"/>
      <c r="T17" s="417"/>
      <c r="U17" s="417"/>
      <c r="V17" s="417"/>
      <c r="W17" s="417"/>
      <c r="X17" s="419"/>
      <c r="Z17" s="485"/>
      <c r="AA17" s="484"/>
      <c r="AB17" s="483"/>
    </row>
    <row r="18" spans="4:28" ht="16.2" customHeight="1" x14ac:dyDescent="0.3">
      <c r="E18" s="611"/>
      <c r="F18" s="417"/>
      <c r="G18" s="417"/>
      <c r="H18" s="417"/>
      <c r="I18" s="417"/>
      <c r="J18" s="417"/>
      <c r="K18" s="417"/>
      <c r="L18" s="417"/>
      <c r="M18" s="417"/>
      <c r="N18" s="417"/>
      <c r="O18" s="417"/>
      <c r="P18" s="417"/>
      <c r="Q18" s="417"/>
      <c r="R18" s="417"/>
      <c r="S18" s="417"/>
      <c r="T18" s="417"/>
      <c r="U18" s="417"/>
      <c r="V18" s="417"/>
      <c r="W18" s="417"/>
      <c r="X18" s="419"/>
      <c r="Z18" s="485"/>
      <c r="AA18" s="484"/>
      <c r="AB18" s="483"/>
    </row>
    <row r="19" spans="4:28" ht="16.2" customHeight="1" x14ac:dyDescent="0.3">
      <c r="E19" s="611"/>
      <c r="F19" s="417"/>
      <c r="G19" s="417"/>
      <c r="H19" s="417"/>
      <c r="I19" s="417"/>
      <c r="J19" s="417"/>
      <c r="K19" s="417"/>
      <c r="L19" s="417"/>
      <c r="M19" s="417"/>
      <c r="N19" s="417"/>
      <c r="O19" s="417"/>
      <c r="P19" s="417"/>
      <c r="Q19" s="417"/>
      <c r="R19" s="417"/>
      <c r="S19" s="417"/>
      <c r="T19" s="417"/>
      <c r="U19" s="417"/>
      <c r="V19" s="417"/>
      <c r="W19" s="417"/>
      <c r="X19" s="419"/>
      <c r="Z19" s="485"/>
      <c r="AA19" s="484"/>
      <c r="AB19" s="483"/>
    </row>
    <row r="20" spans="4:28" ht="16.2" customHeight="1" x14ac:dyDescent="0.3">
      <c r="E20" s="612"/>
      <c r="F20" s="427"/>
      <c r="G20" s="427"/>
      <c r="H20" s="427"/>
      <c r="I20" s="427"/>
      <c r="J20" s="427"/>
      <c r="K20" s="427"/>
      <c r="L20" s="427"/>
      <c r="M20" s="427"/>
      <c r="N20" s="427"/>
      <c r="O20" s="427"/>
      <c r="P20" s="427"/>
      <c r="Q20" s="427"/>
      <c r="R20" s="427"/>
      <c r="S20" s="427"/>
      <c r="T20" s="427"/>
      <c r="U20" s="427"/>
      <c r="V20" s="427"/>
      <c r="W20" s="427"/>
      <c r="X20" s="431"/>
      <c r="Z20" s="485"/>
      <c r="AA20" s="484"/>
      <c r="AB20" s="483"/>
    </row>
    <row r="21" spans="4:28" ht="16.2" customHeight="1" thickBot="1" x14ac:dyDescent="0.35">
      <c r="E21" s="613"/>
      <c r="F21" s="432"/>
      <c r="G21" s="432"/>
      <c r="H21" s="432"/>
      <c r="I21" s="432"/>
      <c r="J21" s="432"/>
      <c r="K21" s="432"/>
      <c r="L21" s="432"/>
      <c r="M21" s="432"/>
      <c r="N21" s="432"/>
      <c r="O21" s="432"/>
      <c r="P21" s="432"/>
      <c r="Q21" s="432"/>
      <c r="R21" s="432"/>
      <c r="S21" s="432"/>
      <c r="T21" s="432"/>
      <c r="U21" s="432"/>
      <c r="V21" s="432"/>
      <c r="W21" s="432"/>
      <c r="X21" s="169"/>
      <c r="Z21" s="485"/>
      <c r="AA21" s="484"/>
      <c r="AB21" s="483"/>
    </row>
    <row r="22" spans="4:28" ht="16.2" customHeight="1" thickTop="1" thickBot="1" x14ac:dyDescent="0.35">
      <c r="E22" s="613"/>
      <c r="F22" s="432"/>
      <c r="G22" s="432"/>
      <c r="H22" s="432"/>
      <c r="I22" s="432"/>
      <c r="J22" s="432"/>
      <c r="K22" s="432"/>
      <c r="L22" s="432"/>
      <c r="M22" s="432"/>
      <c r="N22" s="432"/>
      <c r="O22" s="432"/>
      <c r="P22" s="432"/>
      <c r="Q22" s="432"/>
      <c r="R22" s="432"/>
      <c r="S22" s="432"/>
      <c r="T22" s="432"/>
      <c r="U22" s="432"/>
      <c r="V22" s="432"/>
      <c r="W22" s="432"/>
      <c r="X22" s="169"/>
      <c r="Z22" s="485"/>
      <c r="AA22" s="484"/>
      <c r="AB22" s="483"/>
    </row>
    <row r="23" spans="4:28" ht="16.2" customHeight="1" thickTop="1" thickBot="1" x14ac:dyDescent="0.35">
      <c r="E23" s="927" t="str">
        <f ca="1">PROPER('VISITOR DAYS'!$U$6)&amp;" - "&amp;CHARTYEAR&amp;" - "&amp;$C$4&amp;" - Distribution of Impact by Month"</f>
        <v>Visitor Days - 2022 - M - Distribution of Impact by Month</v>
      </c>
      <c r="F23" s="928"/>
      <c r="G23" s="928"/>
      <c r="H23" s="928"/>
      <c r="I23" s="928"/>
      <c r="J23" s="928"/>
      <c r="K23" s="928"/>
      <c r="L23" s="928"/>
      <c r="M23" s="928"/>
      <c r="N23" s="928"/>
      <c r="O23" s="930" t="str">
        <f>"Direct Employment Supported - "&amp;CHARTYEAR&amp;" - FTEs - Distribution of Impact by Month"</f>
        <v>Direct Employment Supported - 2022 - FTEs - Distribution of Impact by Month</v>
      </c>
      <c r="P23" s="931"/>
      <c r="Q23" s="931"/>
      <c r="R23" s="931"/>
      <c r="S23" s="931"/>
      <c r="T23" s="931"/>
      <c r="U23" s="931"/>
      <c r="V23" s="931"/>
      <c r="W23" s="931"/>
      <c r="X23" s="932"/>
      <c r="Z23" s="485"/>
      <c r="AA23" s="484"/>
      <c r="AB23" s="483"/>
    </row>
    <row r="24" spans="4:28" ht="16.2" customHeight="1" thickTop="1" x14ac:dyDescent="0.3">
      <c r="E24" s="614"/>
      <c r="F24" s="603"/>
      <c r="G24" s="603"/>
      <c r="H24" s="603"/>
      <c r="I24" s="603"/>
      <c r="J24" s="603"/>
      <c r="K24" s="603"/>
      <c r="L24" s="603"/>
      <c r="M24" s="603"/>
      <c r="N24" s="603"/>
      <c r="O24" s="603"/>
      <c r="P24" s="603"/>
      <c r="Q24" s="603"/>
      <c r="R24" s="603"/>
      <c r="S24" s="603"/>
      <c r="T24" s="603"/>
      <c r="U24" s="603"/>
      <c r="V24" s="603"/>
      <c r="W24" s="604"/>
      <c r="X24" s="424"/>
      <c r="AA24" s="485"/>
      <c r="AB24" s="483"/>
    </row>
    <row r="25" spans="4:28" ht="16.2" customHeight="1" x14ac:dyDescent="0.3">
      <c r="E25" s="615"/>
      <c r="F25" s="605"/>
      <c r="G25" s="605"/>
      <c r="H25" s="605"/>
      <c r="I25" s="605"/>
      <c r="J25" s="605"/>
      <c r="K25" s="605"/>
      <c r="L25" s="605"/>
      <c r="M25" s="605"/>
      <c r="N25" s="605"/>
      <c r="O25" s="605"/>
      <c r="P25" s="605"/>
      <c r="Q25" s="605"/>
      <c r="R25" s="605"/>
      <c r="S25" s="605"/>
      <c r="T25" s="605"/>
      <c r="U25" s="605"/>
      <c r="V25" s="605"/>
      <c r="W25" s="605"/>
      <c r="X25" s="428"/>
      <c r="AA25" s="485"/>
      <c r="AB25" s="483"/>
    </row>
    <row r="26" spans="4:28" ht="16.2" customHeight="1" x14ac:dyDescent="0.3">
      <c r="E26" s="420"/>
      <c r="F26" s="159"/>
      <c r="G26" s="159"/>
      <c r="H26" s="159"/>
      <c r="I26" s="159"/>
      <c r="J26" s="159"/>
      <c r="K26" s="159"/>
      <c r="L26" s="159"/>
      <c r="M26" s="159"/>
      <c r="N26" s="159"/>
      <c r="O26" s="159"/>
      <c r="P26" s="159"/>
      <c r="Q26" s="159"/>
      <c r="R26" s="159"/>
      <c r="S26" s="159"/>
      <c r="T26" s="159"/>
      <c r="U26" s="159"/>
      <c r="V26" s="159"/>
      <c r="W26" s="159"/>
      <c r="X26" s="430"/>
      <c r="AA26" s="485"/>
      <c r="AB26" s="483"/>
    </row>
    <row r="27" spans="4:28" ht="16.2" customHeight="1" x14ac:dyDescent="0.3">
      <c r="E27" s="420"/>
      <c r="F27" s="159"/>
      <c r="G27" s="159"/>
      <c r="H27" s="159"/>
      <c r="I27" s="159"/>
      <c r="J27" s="159"/>
      <c r="K27" s="159"/>
      <c r="L27" s="159"/>
      <c r="M27" s="159"/>
      <c r="N27" s="159"/>
      <c r="O27" s="159"/>
      <c r="P27" s="159"/>
      <c r="Q27" s="159"/>
      <c r="R27" s="159"/>
      <c r="S27" s="159"/>
      <c r="T27" s="159"/>
      <c r="U27" s="159"/>
      <c r="V27" s="159"/>
      <c r="W27" s="159"/>
      <c r="X27" s="430"/>
      <c r="Z27" s="485">
        <f>R64</f>
        <v>0</v>
      </c>
      <c r="AA27" s="484"/>
      <c r="AB27" s="483"/>
    </row>
    <row r="28" spans="4:28" ht="16.2" customHeight="1" x14ac:dyDescent="0.3">
      <c r="D28" s="196"/>
      <c r="E28" s="420"/>
      <c r="F28" s="159"/>
      <c r="G28" s="159"/>
      <c r="H28" s="159"/>
      <c r="I28" s="159"/>
      <c r="J28" s="159"/>
      <c r="K28" s="159"/>
      <c r="L28" s="159"/>
      <c r="M28" s="159"/>
      <c r="N28" s="159"/>
      <c r="O28" s="159"/>
      <c r="P28" s="159"/>
      <c r="Q28" s="159"/>
      <c r="R28" s="159"/>
      <c r="S28" s="159"/>
      <c r="T28" s="159"/>
      <c r="U28" s="159"/>
      <c r="V28" s="159"/>
      <c r="W28" s="159"/>
      <c r="X28" s="430"/>
      <c r="Z28" s="485"/>
      <c r="AA28" s="484"/>
      <c r="AB28" s="483"/>
    </row>
    <row r="29" spans="4:28" ht="16.2" customHeight="1" x14ac:dyDescent="0.3">
      <c r="D29" s="196"/>
      <c r="E29" s="616"/>
      <c r="F29" s="418"/>
      <c r="G29" s="418"/>
      <c r="H29" s="418"/>
      <c r="I29" s="418"/>
      <c r="J29" s="418"/>
      <c r="K29" s="418"/>
      <c r="L29" s="418"/>
      <c r="M29" s="418"/>
      <c r="N29" s="418"/>
      <c r="O29" s="418"/>
      <c r="P29" s="418"/>
      <c r="Q29" s="418"/>
      <c r="R29" s="418"/>
      <c r="S29" s="418"/>
      <c r="T29" s="418"/>
      <c r="U29" s="418"/>
      <c r="V29" s="418"/>
      <c r="W29" s="418"/>
      <c r="X29" s="419"/>
      <c r="Z29" s="485"/>
      <c r="AA29" s="484"/>
      <c r="AB29" s="484"/>
    </row>
    <row r="30" spans="4:28" ht="16.2" customHeight="1" x14ac:dyDescent="0.3">
      <c r="D30" s="196"/>
      <c r="E30" s="616"/>
      <c r="F30" s="418"/>
      <c r="G30" s="418"/>
      <c r="H30" s="418"/>
      <c r="I30" s="418"/>
      <c r="J30" s="418"/>
      <c r="K30" s="418"/>
      <c r="L30" s="418"/>
      <c r="M30" s="418"/>
      <c r="N30" s="418"/>
      <c r="O30" s="418"/>
      <c r="P30" s="418"/>
      <c r="Q30" s="418"/>
      <c r="R30" s="418"/>
      <c r="S30" s="418"/>
      <c r="T30" s="418"/>
      <c r="U30" s="418"/>
      <c r="V30" s="418"/>
      <c r="W30" s="418"/>
      <c r="X30" s="419"/>
      <c r="Z30" s="485"/>
      <c r="AA30" s="484"/>
      <c r="AB30" s="484"/>
    </row>
    <row r="31" spans="4:28" ht="16.2" customHeight="1" x14ac:dyDescent="0.3">
      <c r="D31" s="196"/>
      <c r="E31" s="616"/>
      <c r="F31" s="418"/>
      <c r="G31" s="418"/>
      <c r="H31" s="418"/>
      <c r="I31" s="418"/>
      <c r="J31" s="418"/>
      <c r="K31" s="418"/>
      <c r="L31" s="418"/>
      <c r="M31" s="418"/>
      <c r="N31" s="418"/>
      <c r="O31" s="418"/>
      <c r="P31" s="418"/>
      <c r="Q31" s="418"/>
      <c r="R31" s="418"/>
      <c r="S31" s="418"/>
      <c r="T31" s="418"/>
      <c r="U31" s="418"/>
      <c r="V31" s="418"/>
      <c r="W31" s="418"/>
      <c r="X31" s="419"/>
      <c r="Z31" s="485"/>
      <c r="AA31" s="484"/>
      <c r="AB31" s="484"/>
    </row>
    <row r="32" spans="4:28" ht="16.2" customHeight="1" x14ac:dyDescent="0.3">
      <c r="D32" s="196"/>
      <c r="E32" s="616"/>
      <c r="F32" s="418"/>
      <c r="G32" s="418"/>
      <c r="H32" s="418"/>
      <c r="I32" s="418"/>
      <c r="J32" s="418"/>
      <c r="K32" s="418"/>
      <c r="L32" s="418"/>
      <c r="M32" s="418"/>
      <c r="N32" s="418"/>
      <c r="O32" s="418"/>
      <c r="P32" s="418"/>
      <c r="Q32" s="418"/>
      <c r="R32" s="418"/>
      <c r="S32" s="418"/>
      <c r="T32" s="418"/>
      <c r="U32" s="418"/>
      <c r="V32" s="418"/>
      <c r="W32" s="418"/>
      <c r="X32" s="419"/>
      <c r="Z32" s="485"/>
      <c r="AA32" s="484"/>
      <c r="AB32" s="483"/>
    </row>
    <row r="33" spans="3:28" ht="16.2" customHeight="1" x14ac:dyDescent="0.3">
      <c r="D33" s="196"/>
      <c r="E33" s="247"/>
      <c r="F33" s="486"/>
      <c r="G33" s="487"/>
      <c r="H33" s="487"/>
      <c r="I33" s="488"/>
      <c r="J33" s="488"/>
      <c r="K33" s="488"/>
      <c r="L33" s="488"/>
      <c r="M33" s="488"/>
      <c r="N33" s="489"/>
      <c r="O33" s="606"/>
      <c r="P33" s="488"/>
      <c r="Q33" s="488"/>
      <c r="R33" s="607"/>
      <c r="S33" s="418"/>
      <c r="T33" s="440"/>
      <c r="U33" s="440"/>
      <c r="V33" s="440"/>
      <c r="W33" s="440"/>
      <c r="X33" s="454"/>
      <c r="Z33" s="485"/>
      <c r="AA33" s="484"/>
      <c r="AB33" s="483"/>
    </row>
    <row r="34" spans="3:28" ht="16.2" customHeight="1" x14ac:dyDescent="0.3">
      <c r="D34" s="196"/>
      <c r="E34" s="490"/>
      <c r="F34" s="491"/>
      <c r="G34" s="492"/>
      <c r="H34" s="492"/>
      <c r="I34" s="492"/>
      <c r="J34" s="492"/>
      <c r="K34" s="492"/>
      <c r="L34" s="492"/>
      <c r="M34" s="492"/>
      <c r="N34" s="493"/>
      <c r="O34" s="608"/>
      <c r="P34" s="492"/>
      <c r="Q34" s="492"/>
      <c r="R34" s="159"/>
      <c r="S34" s="418"/>
      <c r="T34" s="440"/>
      <c r="U34" s="440"/>
      <c r="V34" s="440"/>
      <c r="W34" s="440"/>
      <c r="X34" s="454"/>
      <c r="Z34" s="240"/>
    </row>
    <row r="35" spans="3:28" ht="16.2" customHeight="1" x14ac:dyDescent="0.3">
      <c r="D35" s="196"/>
      <c r="E35" s="490"/>
      <c r="F35" s="491"/>
      <c r="G35" s="492"/>
      <c r="H35" s="492"/>
      <c r="I35" s="492"/>
      <c r="J35" s="492"/>
      <c r="K35" s="492"/>
      <c r="L35" s="492"/>
      <c r="M35" s="492"/>
      <c r="N35" s="493"/>
      <c r="O35" s="608"/>
      <c r="P35" s="492"/>
      <c r="Q35" s="492"/>
      <c r="R35" s="159"/>
      <c r="S35" s="418"/>
      <c r="T35" s="418"/>
      <c r="U35" s="418"/>
      <c r="V35" s="418"/>
      <c r="W35" s="418"/>
      <c r="X35" s="419"/>
      <c r="Z35" s="240"/>
    </row>
    <row r="36" spans="3:28" ht="16.2" customHeight="1" x14ac:dyDescent="0.3">
      <c r="D36" s="196"/>
      <c r="E36" s="490"/>
      <c r="F36" s="491"/>
      <c r="G36" s="492"/>
      <c r="H36" s="492"/>
      <c r="I36" s="492"/>
      <c r="J36" s="492"/>
      <c r="K36" s="492"/>
      <c r="L36" s="492"/>
      <c r="M36" s="492"/>
      <c r="N36" s="493"/>
      <c r="O36" s="608"/>
      <c r="P36" s="492"/>
      <c r="Q36" s="492"/>
      <c r="R36" s="159"/>
      <c r="S36" s="418"/>
      <c r="T36" s="418"/>
      <c r="U36" s="418"/>
      <c r="V36" s="418"/>
      <c r="W36" s="418"/>
      <c r="X36" s="419"/>
      <c r="Z36" s="240"/>
    </row>
    <row r="37" spans="3:28" ht="16.2" customHeight="1" thickBot="1" x14ac:dyDescent="0.35">
      <c r="D37" s="196"/>
      <c r="E37" s="455"/>
      <c r="F37" s="456"/>
      <c r="G37" s="457"/>
      <c r="H37" s="457"/>
      <c r="I37" s="457"/>
      <c r="J37" s="457"/>
      <c r="K37" s="457"/>
      <c r="L37" s="457"/>
      <c r="M37" s="457"/>
      <c r="N37" s="458"/>
      <c r="O37" s="459"/>
      <c r="P37" s="457"/>
      <c r="Q37" s="457"/>
      <c r="R37" s="457"/>
      <c r="S37" s="277"/>
      <c r="T37" s="277"/>
      <c r="U37" s="277"/>
      <c r="V37" s="277"/>
      <c r="W37" s="277"/>
      <c r="X37" s="278"/>
      <c r="Z37" s="240"/>
    </row>
    <row r="38" spans="3:28"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3:28" ht="16.2" customHeight="1" thickTop="1" x14ac:dyDescent="0.3"/>
    <row r="40" spans="3:28" ht="16.2" customHeight="1" x14ac:dyDescent="0.3">
      <c r="G40" s="240"/>
      <c r="H40" s="240"/>
      <c r="I40" s="240"/>
      <c r="J40" s="240"/>
      <c r="K40" s="240"/>
      <c r="L40" s="240"/>
      <c r="M40" s="240"/>
      <c r="N40" s="240"/>
      <c r="O40" s="240"/>
      <c r="P40" s="240"/>
      <c r="Q40" s="240"/>
      <c r="R40" s="240"/>
      <c r="S40" s="240"/>
      <c r="T40" s="240"/>
      <c r="U40" s="240"/>
      <c r="V40" s="240"/>
    </row>
    <row r="41" spans="3:28" ht="16.2" customHeight="1" x14ac:dyDescent="0.3">
      <c r="G41" s="240"/>
      <c r="H41" s="240"/>
      <c r="I41" s="240"/>
      <c r="J41" s="240"/>
      <c r="K41" s="240"/>
      <c r="L41" s="240"/>
      <c r="M41" s="240"/>
      <c r="N41" s="240"/>
      <c r="O41" s="240"/>
      <c r="P41" s="240"/>
      <c r="Q41" s="240"/>
      <c r="R41" s="240"/>
      <c r="S41" s="240"/>
      <c r="T41" s="240"/>
      <c r="U41" s="240"/>
      <c r="V41" s="240"/>
    </row>
    <row r="43" spans="3:28" ht="16.2" customHeight="1" x14ac:dyDescent="0.3">
      <c r="C43" s="621"/>
      <c r="D43" s="619"/>
      <c r="E43" s="635">
        <f>CHARTYEAR</f>
        <v>2022</v>
      </c>
      <c r="F43" s="624" t="str">
        <f t="array" ref="F43:Q43">{"Jan","Feb","Mar","Apr","May","Jun","Jul","Aug","Sep","Oct","Nov","Dec"}</f>
        <v>Jan</v>
      </c>
      <c r="G43" s="636" t="str">
        <v>Feb</v>
      </c>
      <c r="H43" s="624" t="str">
        <v>Mar</v>
      </c>
      <c r="I43" s="624" t="str">
        <v>Apr</v>
      </c>
      <c r="J43" s="624" t="str">
        <v>May</v>
      </c>
      <c r="K43" s="624" t="str">
        <v>Jun</v>
      </c>
      <c r="L43" s="624" t="str">
        <v>Jul</v>
      </c>
      <c r="M43" s="624" t="str">
        <v>Aug</v>
      </c>
      <c r="N43" s="624" t="str">
        <v>Sep</v>
      </c>
      <c r="O43" s="624" t="str">
        <v>Oct</v>
      </c>
      <c r="P43" s="624" t="str">
        <v>Nov</v>
      </c>
      <c r="Q43" s="624" t="str">
        <v>Dec</v>
      </c>
      <c r="R43" s="624"/>
      <c r="S43" s="624"/>
      <c r="T43" s="624"/>
      <c r="U43" s="624"/>
      <c r="V43" s="624"/>
      <c r="W43" s="621"/>
    </row>
    <row r="44" spans="3:28" ht="16.2" customHeight="1" x14ac:dyDescent="0.3">
      <c r="C44" s="621"/>
      <c r="D44" s="619"/>
      <c r="E44" s="637" t="str">
        <f t="array" ref="E44:E47">INDEX(TYPE.choices,{2;3;4;6})</f>
        <v>Serviced Accommodation</v>
      </c>
      <c r="F44" s="623">
        <f>INDEX(DATA!H:H,MATCH(CHARTYEAR&amp;"."&amp;"ECONOMIC IMPACT"&amp;"."&amp;$E44,DATA!$C:$C,0))*INDEX(REP.indexationfactors,(MATCH(CHARTYEAR,REP.yearsrange,0)))</f>
        <v>20235.931133327853</v>
      </c>
      <c r="G44" s="623">
        <f>INDEX(DATA!I:I,MATCH(CHARTYEAR&amp;"."&amp;"ECONOMIC IMPACT"&amp;"."&amp;$E44,DATA!$C:$C,0))*INDEX(REP.indexationfactors,(MATCH(CHARTYEAR,REP.yearsrange,0)))</f>
        <v>34494.389433044387</v>
      </c>
      <c r="H44" s="623">
        <f>INDEX(DATA!J:J,MATCH(CHARTYEAR&amp;"."&amp;"ECONOMIC IMPACT"&amp;"."&amp;$E44,DATA!$C:$C,0))*INDEX(REP.indexationfactors,(MATCH(CHARTYEAR,REP.yearsrange,0)))</f>
        <v>43839.604554249818</v>
      </c>
      <c r="I44" s="623">
        <f>INDEX(DATA!K:K,MATCH(CHARTYEAR&amp;"."&amp;"ECONOMIC IMPACT"&amp;"."&amp;$E44,DATA!$C:$C,0))*INDEX(REP.indexationfactors,(MATCH(CHARTYEAR,REP.yearsrange,0)))</f>
        <v>43602.224069591946</v>
      </c>
      <c r="J44" s="623">
        <f>INDEX(DATA!L:L,MATCH(CHARTYEAR&amp;"."&amp;"ECONOMIC IMPACT"&amp;"."&amp;$E44,DATA!$C:$C,0))*INDEX(REP.indexationfactors,(MATCH(CHARTYEAR,REP.yearsrange,0)))</f>
        <v>54048.837087252163</v>
      </c>
      <c r="K44" s="623">
        <f>INDEX(DATA!M:M,MATCH(CHARTYEAR&amp;"."&amp;"ECONOMIC IMPACT"&amp;"."&amp;$E44,DATA!$C:$C,0))*INDEX(REP.indexationfactors,(MATCH(CHARTYEAR,REP.yearsrange,0)))</f>
        <v>53515.297353189475</v>
      </c>
      <c r="L44" s="623">
        <f>INDEX(DATA!N:N,MATCH(CHARTYEAR&amp;"."&amp;"ECONOMIC IMPACT"&amp;"."&amp;$E44,DATA!$C:$C,0))*INDEX(REP.indexationfactors,(MATCH(CHARTYEAR,REP.yearsrange,0)))</f>
        <v>87670.543994229418</v>
      </c>
      <c r="M44" s="623">
        <f>INDEX(DATA!O:O,MATCH(CHARTYEAR&amp;"."&amp;"ECONOMIC IMPACT"&amp;"."&amp;$E44,DATA!$C:$C,0))*INDEX(REP.indexationfactors,(MATCH(CHARTYEAR,REP.yearsrange,0)))</f>
        <v>98109.400661880092</v>
      </c>
      <c r="N44" s="623">
        <f>INDEX(DATA!P:P,MATCH(CHARTYEAR&amp;"."&amp;"ECONOMIC IMPACT"&amp;"."&amp;$E44,DATA!$C:$C,0))*INDEX(REP.indexationfactors,(MATCH(CHARTYEAR,REP.yearsrange,0)))</f>
        <v>70225.656276472582</v>
      </c>
      <c r="O44" s="623">
        <f>INDEX(DATA!Q:Q,MATCH(CHARTYEAR&amp;"."&amp;"ECONOMIC IMPACT"&amp;"."&amp;$E44,DATA!$C:$C,0))*INDEX(REP.indexationfactors,(MATCH(CHARTYEAR,REP.yearsrange,0)))</f>
        <v>43446.584746621644</v>
      </c>
      <c r="P44" s="623">
        <f>INDEX(DATA!R:R,MATCH(CHARTYEAR&amp;"."&amp;"ECONOMIC IMPACT"&amp;"."&amp;$E44,DATA!$C:$C,0))*INDEX(REP.indexationfactors,(MATCH(CHARTYEAR,REP.yearsrange,0)))</f>
        <v>43655.52975325154</v>
      </c>
      <c r="Q44" s="623">
        <f>INDEX(DATA!S:S,MATCH(CHARTYEAR&amp;"."&amp;"ECONOMIC IMPACT"&amp;"."&amp;$E44,DATA!$C:$C,0))*INDEX(REP.indexationfactors,(MATCH(CHARTYEAR,REP.yearsrange,0)))</f>
        <v>32160.613853000796</v>
      </c>
      <c r="R44" s="623"/>
      <c r="S44" s="624"/>
      <c r="T44" s="624"/>
      <c r="U44" s="625"/>
      <c r="V44" s="625"/>
      <c r="W44" s="621"/>
    </row>
    <row r="45" spans="3:28" ht="16.2" customHeight="1" x14ac:dyDescent="0.3">
      <c r="C45" s="621"/>
      <c r="D45" s="619"/>
      <c r="E45" s="637" t="str">
        <v>Non-Serviced Accommodation</v>
      </c>
      <c r="F45" s="623">
        <f>INDEX(DATA!H:H,MATCH(CHARTYEAR&amp;"."&amp;"ECONOMIC IMPACT"&amp;"."&amp;$E45,DATA!$C:$C,0))*INDEX(REP.indexationfactors,(MATCH(CHARTYEAR,REP.yearsrange,0)))</f>
        <v>67282.303953292489</v>
      </c>
      <c r="G45" s="623">
        <f>INDEX(DATA!I:I,MATCH(CHARTYEAR&amp;"."&amp;"ECONOMIC IMPACT"&amp;"."&amp;$E45,DATA!$C:$C,0))*INDEX(REP.indexationfactors,(MATCH(CHARTYEAR,REP.yearsrange,0)))</f>
        <v>81854.075772003867</v>
      </c>
      <c r="H45" s="623">
        <f>INDEX(DATA!J:J,MATCH(CHARTYEAR&amp;"."&amp;"ECONOMIC IMPACT"&amp;"."&amp;$E45,DATA!$C:$C,0))*INDEX(REP.indexationfactors,(MATCH(CHARTYEAR,REP.yearsrange,0)))</f>
        <v>210270.29251130344</v>
      </c>
      <c r="I45" s="623">
        <f>INDEX(DATA!K:K,MATCH(CHARTYEAR&amp;"."&amp;"ECONOMIC IMPACT"&amp;"."&amp;$E45,DATA!$C:$C,0))*INDEX(REP.indexationfactors,(MATCH(CHARTYEAR,REP.yearsrange,0)))</f>
        <v>223284.21609911244</v>
      </c>
      <c r="J45" s="623">
        <f>INDEX(DATA!L:L,MATCH(CHARTYEAR&amp;"."&amp;"ECONOMIC IMPACT"&amp;"."&amp;$E45,DATA!$C:$C,0))*INDEX(REP.indexationfactors,(MATCH(CHARTYEAR,REP.yearsrange,0)))</f>
        <v>241102.84261050803</v>
      </c>
      <c r="K45" s="623">
        <f>INDEX(DATA!M:M,MATCH(CHARTYEAR&amp;"."&amp;"ECONOMIC IMPACT"&amp;"."&amp;$E45,DATA!$C:$C,0))*INDEX(REP.indexationfactors,(MATCH(CHARTYEAR,REP.yearsrange,0)))</f>
        <v>264614.89669892145</v>
      </c>
      <c r="L45" s="623">
        <f>INDEX(DATA!N:N,MATCH(CHARTYEAR&amp;"."&amp;"ECONOMIC IMPACT"&amp;"."&amp;$E45,DATA!$C:$C,0))*INDEX(REP.indexationfactors,(MATCH(CHARTYEAR,REP.yearsrange,0)))</f>
        <v>330598.22514771699</v>
      </c>
      <c r="M45" s="623">
        <f>INDEX(DATA!O:O,MATCH(CHARTYEAR&amp;"."&amp;"ECONOMIC IMPACT"&amp;"."&amp;$E45,DATA!$C:$C,0))*INDEX(REP.indexationfactors,(MATCH(CHARTYEAR,REP.yearsrange,0)))</f>
        <v>329140.91064798617</v>
      </c>
      <c r="N45" s="623">
        <f>INDEX(DATA!P:P,MATCH(CHARTYEAR&amp;"."&amp;"ECONOMIC IMPACT"&amp;"."&amp;$E45,DATA!$C:$C,0))*INDEX(REP.indexationfactors,(MATCH(CHARTYEAR,REP.yearsrange,0)))</f>
        <v>261734.82150743291</v>
      </c>
      <c r="O45" s="623">
        <f>INDEX(DATA!Q:Q,MATCH(CHARTYEAR&amp;"."&amp;"ECONOMIC IMPACT"&amp;"."&amp;$E45,DATA!$C:$C,0))*INDEX(REP.indexationfactors,(MATCH(CHARTYEAR,REP.yearsrange,0)))</f>
        <v>216940.14164460445</v>
      </c>
      <c r="P45" s="623">
        <f>INDEX(DATA!R:R,MATCH(CHARTYEAR&amp;"."&amp;"ECONOMIC IMPACT"&amp;"."&amp;$E45,DATA!$C:$C,0))*INDEX(REP.indexationfactors,(MATCH(CHARTYEAR,REP.yearsrange,0)))</f>
        <v>104843.22717907769</v>
      </c>
      <c r="Q45" s="623">
        <f>INDEX(DATA!S:S,MATCH(CHARTYEAR&amp;"."&amp;"ECONOMIC IMPACT"&amp;"."&amp;$E45,DATA!$C:$C,0))*INDEX(REP.indexationfactors,(MATCH(CHARTYEAR,REP.yearsrange,0)))</f>
        <v>83073.926105393271</v>
      </c>
      <c r="R45" s="623"/>
      <c r="S45" s="624"/>
      <c r="T45" s="624"/>
      <c r="U45" s="625"/>
      <c r="V45" s="625"/>
      <c r="W45" s="621"/>
    </row>
    <row r="46" spans="3:28" ht="16.2" customHeight="1" x14ac:dyDescent="0.3">
      <c r="C46" s="621"/>
      <c r="D46" s="619"/>
      <c r="E46" s="638" t="str">
        <v>SFR</v>
      </c>
      <c r="F46" s="623">
        <f>INDEX(DATA!H:H,MATCH(CHARTYEAR&amp;"."&amp;"ECONOMIC IMPACT"&amp;"."&amp;$E46,DATA!$C:$C,0))*INDEX(REP.indexationfactors,(MATCH(CHARTYEAR,REP.yearsrange,0)))</f>
        <v>16430.262495534884</v>
      </c>
      <c r="G46" s="623">
        <f>INDEX(DATA!I:I,MATCH(CHARTYEAR&amp;"."&amp;"ECONOMIC IMPACT"&amp;"."&amp;$E46,DATA!$C:$C,0))*INDEX(REP.indexationfactors,(MATCH(CHARTYEAR,REP.yearsrange,0)))</f>
        <v>5520.5681984997218</v>
      </c>
      <c r="H46" s="623">
        <f>INDEX(DATA!J:J,MATCH(CHARTYEAR&amp;"."&amp;"ECONOMIC IMPACT"&amp;"."&amp;$E46,DATA!$C:$C,0))*INDEX(REP.indexationfactors,(MATCH(CHARTYEAR,REP.yearsrange,0)))</f>
        <v>6280.0114427377794</v>
      </c>
      <c r="I46" s="623">
        <f>INDEX(DATA!K:K,MATCH(CHARTYEAR&amp;"."&amp;"ECONOMIC IMPACT"&amp;"."&amp;$E46,DATA!$C:$C,0))*INDEX(REP.indexationfactors,(MATCH(CHARTYEAR,REP.yearsrange,0)))</f>
        <v>14984.399395927816</v>
      </c>
      <c r="J46" s="623">
        <f>INDEX(DATA!L:L,MATCH(CHARTYEAR&amp;"."&amp;"ECONOMIC IMPACT"&amp;"."&amp;$E46,DATA!$C:$C,0))*INDEX(REP.indexationfactors,(MATCH(CHARTYEAR,REP.yearsrange,0)))</f>
        <v>9639.087330713799</v>
      </c>
      <c r="K46" s="623">
        <f>INDEX(DATA!M:M,MATCH(CHARTYEAR&amp;"."&amp;"ECONOMIC IMPACT"&amp;"."&amp;$E46,DATA!$C:$C,0))*INDEX(REP.indexationfactors,(MATCH(CHARTYEAR,REP.yearsrange,0)))</f>
        <v>7425.1642269821259</v>
      </c>
      <c r="L46" s="623">
        <f>INDEX(DATA!N:N,MATCH(CHARTYEAR&amp;"."&amp;"ECONOMIC IMPACT"&amp;"."&amp;$E46,DATA!$C:$C,0))*INDEX(REP.indexationfactors,(MATCH(CHARTYEAR,REP.yearsrange,0)))</f>
        <v>12048.859163392252</v>
      </c>
      <c r="M46" s="623">
        <f>INDEX(DATA!O:O,MATCH(CHARTYEAR&amp;"."&amp;"ECONOMIC IMPACT"&amp;"."&amp;$E46,DATA!$C:$C,0))*INDEX(REP.indexationfactors,(MATCH(CHARTYEAR,REP.yearsrange,0)))</f>
        <v>12754.849286978168</v>
      </c>
      <c r="N46" s="623">
        <f>INDEX(DATA!P:P,MATCH(CHARTYEAR&amp;"."&amp;"ECONOMIC IMPACT"&amp;"."&amp;$E46,DATA!$C:$C,0))*INDEX(REP.indexationfactors,(MATCH(CHARTYEAR,REP.yearsrange,0)))</f>
        <v>6569.7828544479189</v>
      </c>
      <c r="O46" s="623">
        <f>INDEX(DATA!Q:Q,MATCH(CHARTYEAR&amp;"."&amp;"ECONOMIC IMPACT"&amp;"."&amp;$E46,DATA!$C:$C,0))*INDEX(REP.indexationfactors,(MATCH(CHARTYEAR,REP.yearsrange,0)))</f>
        <v>6563.3421915496683</v>
      </c>
      <c r="P46" s="623">
        <f>INDEX(DATA!R:R,MATCH(CHARTYEAR&amp;"."&amp;"ECONOMIC IMPACT"&amp;"."&amp;$E46,DATA!$C:$C,0))*INDEX(REP.indexationfactors,(MATCH(CHARTYEAR,REP.yearsrange,0)))</f>
        <v>5114.1930394434912</v>
      </c>
      <c r="Q46" s="623">
        <f>INDEX(DATA!S:S,MATCH(CHARTYEAR&amp;"."&amp;"ECONOMIC IMPACT"&amp;"."&amp;$E46,DATA!$C:$C,0))*INDEX(REP.indexationfactors,(MATCH(CHARTYEAR,REP.yearsrange,0)))</f>
        <v>14809.143262642112</v>
      </c>
      <c r="R46" s="623"/>
      <c r="S46" s="624"/>
      <c r="T46" s="624"/>
      <c r="U46" s="626"/>
      <c r="V46" s="626"/>
      <c r="W46" s="621"/>
    </row>
    <row r="47" spans="3:28" ht="16.2" customHeight="1" x14ac:dyDescent="0.3">
      <c r="C47" s="621"/>
      <c r="D47" s="619"/>
      <c r="E47" s="637" t="str">
        <v>Day Visitor</v>
      </c>
      <c r="F47" s="623">
        <f>INDEX(DATA!H:H,MATCH(CHARTYEAR&amp;"."&amp;"ECONOMIC IMPACT"&amp;"."&amp;$E47,DATA!$C:$C,0))*INDEX(REP.indexationfactors,(MATCH(CHARTYEAR,REP.yearsrange,0)))</f>
        <v>27737.020344752826</v>
      </c>
      <c r="G47" s="623">
        <f>INDEX(DATA!I:I,MATCH(CHARTYEAR&amp;"."&amp;"ECONOMIC IMPACT"&amp;"."&amp;$E47,DATA!$C:$C,0))*INDEX(REP.indexationfactors,(MATCH(CHARTYEAR,REP.yearsrange,0)))</f>
        <v>31620.537413587364</v>
      </c>
      <c r="H47" s="623">
        <f>INDEX(DATA!J:J,MATCH(CHARTYEAR&amp;"."&amp;"ECONOMIC IMPACT"&amp;"."&amp;$E47,DATA!$C:$C,0))*INDEX(REP.indexationfactors,(MATCH(CHARTYEAR,REP.yearsrange,0)))</f>
        <v>70176.898656399659</v>
      </c>
      <c r="I47" s="623">
        <f>INDEX(DATA!K:K,MATCH(CHARTYEAR&amp;"."&amp;"ECONOMIC IMPACT"&amp;"."&amp;$E47,DATA!$C:$C,0))*INDEX(REP.indexationfactors,(MATCH(CHARTYEAR,REP.yearsrange,0)))</f>
        <v>96844.77872080708</v>
      </c>
      <c r="J47" s="623">
        <f>INDEX(DATA!L:L,MATCH(CHARTYEAR&amp;"."&amp;"ECONOMIC IMPACT"&amp;"."&amp;$E47,DATA!$C:$C,0))*INDEX(REP.indexationfactors,(MATCH(CHARTYEAR,REP.yearsrange,0)))</f>
        <v>94477.789214698103</v>
      </c>
      <c r="K47" s="623">
        <f>INDEX(DATA!M:M,MATCH(CHARTYEAR&amp;"."&amp;"ECONOMIC IMPACT"&amp;"."&amp;$E47,DATA!$C:$C,0))*INDEX(REP.indexationfactors,(MATCH(CHARTYEAR,REP.yearsrange,0)))</f>
        <v>114814.89975177284</v>
      </c>
      <c r="L47" s="623">
        <f>INDEX(DATA!N:N,MATCH(CHARTYEAR&amp;"."&amp;"ECONOMIC IMPACT"&amp;"."&amp;$E47,DATA!$C:$C,0))*INDEX(REP.indexationfactors,(MATCH(CHARTYEAR,REP.yearsrange,0)))</f>
        <v>149577.31011757368</v>
      </c>
      <c r="M47" s="623">
        <f>INDEX(DATA!O:O,MATCH(CHARTYEAR&amp;"."&amp;"ECONOMIC IMPACT"&amp;"."&amp;$E47,DATA!$C:$C,0))*INDEX(REP.indexationfactors,(MATCH(CHARTYEAR,REP.yearsrange,0)))</f>
        <v>189999.60784512528</v>
      </c>
      <c r="N47" s="623">
        <f>INDEX(DATA!P:P,MATCH(CHARTYEAR&amp;"."&amp;"ECONOMIC IMPACT"&amp;"."&amp;$E47,DATA!$C:$C,0))*INDEX(REP.indexationfactors,(MATCH(CHARTYEAR,REP.yearsrange,0)))</f>
        <v>90090.40273713661</v>
      </c>
      <c r="O47" s="623">
        <f>INDEX(DATA!Q:Q,MATCH(CHARTYEAR&amp;"."&amp;"ECONOMIC IMPACT"&amp;"."&amp;$E47,DATA!$C:$C,0))*INDEX(REP.indexationfactors,(MATCH(CHARTYEAR,REP.yearsrange,0)))</f>
        <v>74573.782799676657</v>
      </c>
      <c r="P47" s="623">
        <f>INDEX(DATA!R:R,MATCH(CHARTYEAR&amp;"."&amp;"ECONOMIC IMPACT"&amp;"."&amp;$E47,DATA!$C:$C,0))*INDEX(REP.indexationfactors,(MATCH(CHARTYEAR,REP.yearsrange,0)))</f>
        <v>37228.931628107581</v>
      </c>
      <c r="Q47" s="623">
        <f>INDEX(DATA!S:S,MATCH(CHARTYEAR&amp;"."&amp;"ECONOMIC IMPACT"&amp;"."&amp;$E47,DATA!$C:$C,0))*INDEX(REP.indexationfactors,(MATCH(CHARTYEAR,REP.yearsrange,0)))</f>
        <v>23107.646166269238</v>
      </c>
      <c r="R47" s="623"/>
      <c r="S47" s="627"/>
      <c r="T47" s="628"/>
      <c r="U47" s="627"/>
      <c r="V47" s="627"/>
      <c r="W47" s="621"/>
    </row>
    <row r="48" spans="3:28" ht="16.2" customHeight="1" x14ac:dyDescent="0.3">
      <c r="C48" s="621"/>
      <c r="D48" s="619"/>
      <c r="E48" s="637" t="str">
        <f t="array" ref="E48:E51">INDEX(TYPE.choices,{2;3;4;6})</f>
        <v>Serviced Accommodation</v>
      </c>
      <c r="F48" s="623">
        <f>INDEX(DATA!H:H,MATCH(CHARTYEAR&amp;"."&amp;"VISITOR NUMBERS"&amp;"."&amp;$E48,DATA!$C:$C,0))</f>
        <v>115.11567281491692</v>
      </c>
      <c r="G48" s="623">
        <f>INDEX(DATA!I:I,MATCH(CHARTYEAR&amp;"."&amp;"VISITOR NUMBERS"&amp;"."&amp;$E48,DATA!$C:$C,0))</f>
        <v>199.64317299879326</v>
      </c>
      <c r="H48" s="623">
        <f>INDEX(DATA!J:J,MATCH(CHARTYEAR&amp;"."&amp;"VISITOR NUMBERS"&amp;"."&amp;$E48,DATA!$C:$C,0))</f>
        <v>185.35196038519544</v>
      </c>
      <c r="I48" s="623">
        <f>INDEX(DATA!K:K,MATCH(CHARTYEAR&amp;"."&amp;"VISITOR NUMBERS"&amp;"."&amp;$E48,DATA!$C:$C,0))</f>
        <v>213.6935484827253</v>
      </c>
      <c r="J48" s="623">
        <f>INDEX(DATA!L:L,MATCH(CHARTYEAR&amp;"."&amp;"VISITOR NUMBERS"&amp;"."&amp;$E48,DATA!$C:$C,0))</f>
        <v>259.47411774353372</v>
      </c>
      <c r="K48" s="623">
        <f>INDEX(DATA!M:M,MATCH(CHARTYEAR&amp;"."&amp;"VISITOR NUMBERS"&amp;"."&amp;$E48,DATA!$C:$C,0))</f>
        <v>269.68835290514608</v>
      </c>
      <c r="L48" s="623">
        <f>INDEX(DATA!N:N,MATCH(CHARTYEAR&amp;"."&amp;"VISITOR NUMBERS"&amp;"."&amp;$E48,DATA!$C:$C,0))</f>
        <v>322.94709763159756</v>
      </c>
      <c r="M48" s="623">
        <f>INDEX(DATA!O:O,MATCH(CHARTYEAR&amp;"."&amp;"VISITOR NUMBERS"&amp;"."&amp;$E48,DATA!$C:$C,0))</f>
        <v>355.15839498828808</v>
      </c>
      <c r="N48" s="623">
        <f>INDEX(DATA!P:P,MATCH(CHARTYEAR&amp;"."&amp;"VISITOR NUMBERS"&amp;"."&amp;$E48,DATA!$C:$C,0))</f>
        <v>228.26074056528725</v>
      </c>
      <c r="O48" s="623">
        <f>INDEX(DATA!Q:Q,MATCH(CHARTYEAR&amp;"."&amp;"VISITOR NUMBERS"&amp;"."&amp;$E48,DATA!$C:$C,0))</f>
        <v>223.2403299555134</v>
      </c>
      <c r="P48" s="623">
        <f>INDEX(DATA!R:R,MATCH(CHARTYEAR&amp;"."&amp;"VISITOR NUMBERS"&amp;"."&amp;$E48,DATA!$C:$C,0))</f>
        <v>224.18306178558447</v>
      </c>
      <c r="Q48" s="623">
        <f>INDEX(DATA!S:S,MATCH(CHARTYEAR&amp;"."&amp;"VISITOR NUMBERS"&amp;"."&amp;$E48,DATA!$C:$C,0))</f>
        <v>172.14048244965781</v>
      </c>
      <c r="R48" s="623"/>
      <c r="S48" s="627"/>
      <c r="T48" s="628"/>
      <c r="U48" s="627"/>
      <c r="V48" s="627"/>
      <c r="W48" s="621"/>
    </row>
    <row r="49" spans="3:23" ht="16.2" customHeight="1" x14ac:dyDescent="0.3">
      <c r="C49" s="621"/>
      <c r="D49" s="619"/>
      <c r="E49" s="637" t="str">
        <v>Non-Serviced Accommodation</v>
      </c>
      <c r="F49" s="623">
        <f>INDEX(DATA!H:H,MATCH(CHARTYEAR&amp;"."&amp;"VISITOR NUMBERS"&amp;"."&amp;$E49,DATA!$C:$C,0))</f>
        <v>301.36916695239006</v>
      </c>
      <c r="G49" s="623">
        <f>INDEX(DATA!I:I,MATCH(CHARTYEAR&amp;"."&amp;"VISITOR NUMBERS"&amp;"."&amp;$E49,DATA!$C:$C,0))</f>
        <v>311.25535634590642</v>
      </c>
      <c r="H49" s="623">
        <f>INDEX(DATA!J:J,MATCH(CHARTYEAR&amp;"."&amp;"VISITOR NUMBERS"&amp;"."&amp;$E49,DATA!$C:$C,0))</f>
        <v>798.44699977335677</v>
      </c>
      <c r="I49" s="623">
        <f>INDEX(DATA!K:K,MATCH(CHARTYEAR&amp;"."&amp;"VISITOR NUMBERS"&amp;"."&amp;$E49,DATA!$C:$C,0))</f>
        <v>658.40813391392169</v>
      </c>
      <c r="J49" s="623">
        <f>INDEX(DATA!L:L,MATCH(CHARTYEAR&amp;"."&amp;"VISITOR NUMBERS"&amp;"."&amp;$E49,DATA!$C:$C,0))</f>
        <v>674.7191199966536</v>
      </c>
      <c r="K49" s="623">
        <f>INDEX(DATA!M:M,MATCH(CHARTYEAR&amp;"."&amp;"VISITOR NUMBERS"&amp;"."&amp;$E49,DATA!$C:$C,0))</f>
        <v>721.74896963515289</v>
      </c>
      <c r="L49" s="623">
        <f>INDEX(DATA!N:N,MATCH(CHARTYEAR&amp;"."&amp;"VISITOR NUMBERS"&amp;"."&amp;$E49,DATA!$C:$C,0))</f>
        <v>839.2361205127313</v>
      </c>
      <c r="M49" s="623">
        <f>INDEX(DATA!O:O,MATCH(CHARTYEAR&amp;"."&amp;"VISITOR NUMBERS"&amp;"."&amp;$E49,DATA!$C:$C,0))</f>
        <v>784.82508010417882</v>
      </c>
      <c r="N49" s="623">
        <f>INDEX(DATA!P:P,MATCH(CHARTYEAR&amp;"."&amp;"VISITOR NUMBERS"&amp;"."&amp;$E49,DATA!$C:$C,0))</f>
        <v>653.48848570766779</v>
      </c>
      <c r="O49" s="623">
        <f>INDEX(DATA!Q:Q,MATCH(CHARTYEAR&amp;"."&amp;"VISITOR NUMBERS"&amp;"."&amp;$E49,DATA!$C:$C,0))</f>
        <v>597.38680128359965</v>
      </c>
      <c r="P49" s="623">
        <f>INDEX(DATA!R:R,MATCH(CHARTYEAR&amp;"."&amp;"VISITOR NUMBERS"&amp;"."&amp;$E49,DATA!$C:$C,0))</f>
        <v>393.91917902158679</v>
      </c>
      <c r="Q49" s="623">
        <f>INDEX(DATA!S:S,MATCH(CHARTYEAR&amp;"."&amp;"VISITOR NUMBERS"&amp;"."&amp;$E49,DATA!$C:$C,0))</f>
        <v>229.23592281633557</v>
      </c>
      <c r="R49" s="623"/>
      <c r="S49" s="627"/>
      <c r="T49" s="628"/>
      <c r="U49" s="627"/>
      <c r="V49" s="627"/>
      <c r="W49" s="621"/>
    </row>
    <row r="50" spans="3:23" ht="16.2" customHeight="1" x14ac:dyDescent="0.3">
      <c r="C50" s="621"/>
      <c r="D50" s="619"/>
      <c r="E50" s="638" t="str">
        <v>SFR</v>
      </c>
      <c r="F50" s="623">
        <f>INDEX(DATA!H:H,MATCH(CHARTYEAR&amp;"."&amp;"VISITOR NUMBERS"&amp;"."&amp;$E50,DATA!$C:$C,0))</f>
        <v>140.54277272727271</v>
      </c>
      <c r="G50" s="623">
        <f>INDEX(DATA!I:I,MATCH(CHARTYEAR&amp;"."&amp;"VISITOR NUMBERS"&amp;"."&amp;$E50,DATA!$C:$C,0))</f>
        <v>56.217109090909084</v>
      </c>
      <c r="H50" s="623">
        <f>INDEX(DATA!J:J,MATCH(CHARTYEAR&amp;"."&amp;"VISITOR NUMBERS"&amp;"."&amp;$E50,DATA!$C:$C,0))</f>
        <v>62.463454545454553</v>
      </c>
      <c r="I50" s="623">
        <f>INDEX(DATA!K:K,MATCH(CHARTYEAR&amp;"."&amp;"VISITOR NUMBERS"&amp;"."&amp;$E50,DATA!$C:$C,0))</f>
        <v>118.68056363636363</v>
      </c>
      <c r="J50" s="623">
        <f>INDEX(DATA!L:L,MATCH(CHARTYEAR&amp;"."&amp;"VISITOR NUMBERS"&amp;"."&amp;$E50,DATA!$C:$C,0))</f>
        <v>93.695181818181808</v>
      </c>
      <c r="K50" s="623">
        <f>INDEX(DATA!M:M,MATCH(CHARTYEAR&amp;"."&amp;"VISITOR NUMBERS"&amp;"."&amp;$E50,DATA!$C:$C,0))</f>
        <v>75.612011727272716</v>
      </c>
      <c r="L50" s="623">
        <f>INDEX(DATA!N:N,MATCH(CHARTYEAR&amp;"."&amp;"VISITOR NUMBERS"&amp;"."&amp;$E50,DATA!$C:$C,0))</f>
        <v>103.0647</v>
      </c>
      <c r="M50" s="623">
        <f>INDEX(DATA!O:O,MATCH(CHARTYEAR&amp;"."&amp;"VISITOR NUMBERS"&amp;"."&amp;$E50,DATA!$C:$C,0))</f>
        <v>104.9073719090909</v>
      </c>
      <c r="N50" s="623">
        <f>INDEX(DATA!P:P,MATCH(CHARTYEAR&amp;"."&amp;"VISITOR NUMBERS"&amp;"."&amp;$E50,DATA!$C:$C,0))</f>
        <v>64.743370636363636</v>
      </c>
      <c r="O50" s="623">
        <f>INDEX(DATA!Q:Q,MATCH(CHARTYEAR&amp;"."&amp;"VISITOR NUMBERS"&amp;"."&amp;$E50,DATA!$C:$C,0))</f>
        <v>65.58662727272727</v>
      </c>
      <c r="P50" s="623">
        <f>INDEX(DATA!R:R,MATCH(CHARTYEAR&amp;"."&amp;"VISITOR NUMBERS"&amp;"."&amp;$E50,DATA!$C:$C,0))</f>
        <v>53.874729545454542</v>
      </c>
      <c r="Q50" s="623">
        <f>INDEX(DATA!S:S,MATCH(CHARTYEAR&amp;"."&amp;"VISITOR NUMBERS"&amp;"."&amp;$E50,DATA!$C:$C,0))</f>
        <v>121.80373636363635</v>
      </c>
      <c r="R50" s="623"/>
      <c r="S50" s="629"/>
      <c r="T50" s="628"/>
      <c r="U50" s="629"/>
      <c r="V50" s="629"/>
      <c r="W50" s="621"/>
    </row>
    <row r="51" spans="3:23" ht="16.2" customHeight="1" x14ac:dyDescent="0.3">
      <c r="C51" s="621"/>
      <c r="D51" s="619"/>
      <c r="E51" s="637" t="str">
        <v>Day Visitor</v>
      </c>
      <c r="F51" s="623">
        <f>INDEX(DATA!H:H,MATCH(CHARTYEAR&amp;"."&amp;"VISITOR NUMBERS"&amp;"."&amp;$E51,DATA!$C:$C,0))</f>
        <v>599.15083417819619</v>
      </c>
      <c r="G51" s="623">
        <f>INDEX(DATA!I:I,MATCH(CHARTYEAR&amp;"."&amp;"VISITOR NUMBERS"&amp;"."&amp;$E51,DATA!$C:$C,0))</f>
        <v>636.12632893522982</v>
      </c>
      <c r="H51" s="623">
        <f>INDEX(DATA!J:J,MATCH(CHARTYEAR&amp;"."&amp;"VISITOR NUMBERS"&amp;"."&amp;$E51,DATA!$C:$C,0))</f>
        <v>1468.1242162631584</v>
      </c>
      <c r="I51" s="623">
        <f>INDEX(DATA!K:K,MATCH(CHARTYEAR&amp;"."&amp;"VISITOR NUMBERS"&amp;"."&amp;$E51,DATA!$C:$C,0))</f>
        <v>1900.1354615571277</v>
      </c>
      <c r="J51" s="623">
        <f>INDEX(DATA!L:L,MATCH(CHARTYEAR&amp;"."&amp;"VISITOR NUMBERS"&amp;"."&amp;$E51,DATA!$C:$C,0))</f>
        <v>1869.5239423492781</v>
      </c>
      <c r="K51" s="623">
        <f>INDEX(DATA!M:M,MATCH(CHARTYEAR&amp;"."&amp;"VISITOR NUMBERS"&amp;"."&amp;$E51,DATA!$C:$C,0))</f>
        <v>2270.7273945563538</v>
      </c>
      <c r="L51" s="623">
        <f>INDEX(DATA!N:N,MATCH(CHARTYEAR&amp;"."&amp;"VISITOR NUMBERS"&amp;"."&amp;$E51,DATA!$C:$C,0))</f>
        <v>3000.0417692185865</v>
      </c>
      <c r="M51" s="623">
        <f>INDEX(DATA!O:O,MATCH(CHARTYEAR&amp;"."&amp;"VISITOR NUMBERS"&amp;"."&amp;$E51,DATA!$C:$C,0))</f>
        <v>3793.1113902652169</v>
      </c>
      <c r="N51" s="623">
        <f>INDEX(DATA!P:P,MATCH(CHARTYEAR&amp;"."&amp;"VISITOR NUMBERS"&amp;"."&amp;$E51,DATA!$C:$C,0))</f>
        <v>1799.0574652660462</v>
      </c>
      <c r="O51" s="623">
        <f>INDEX(DATA!Q:Q,MATCH(CHARTYEAR&amp;"."&amp;"VISITOR NUMBERS"&amp;"."&amp;$E51,DATA!$C:$C,0))</f>
        <v>1541.2672049294947</v>
      </c>
      <c r="P51" s="623">
        <f>INDEX(DATA!R:R,MATCH(CHARTYEAR&amp;"."&amp;"VISITOR NUMBERS"&amp;"."&amp;$E51,DATA!$C:$C,0))</f>
        <v>791.19923055943582</v>
      </c>
      <c r="Q51" s="623">
        <f>INDEX(DATA!S:S,MATCH(CHARTYEAR&amp;"."&amp;"VISITOR NUMBERS"&amp;"."&amp;$E51,DATA!$C:$C,0))</f>
        <v>501.81065836001608</v>
      </c>
      <c r="R51" s="623"/>
      <c r="S51" s="629"/>
      <c r="T51" s="627"/>
      <c r="U51" s="629"/>
      <c r="V51" s="629"/>
      <c r="W51" s="621"/>
    </row>
    <row r="52" spans="3:23" ht="16.2" customHeight="1" x14ac:dyDescent="0.3">
      <c r="C52" s="621"/>
      <c r="D52" s="619"/>
      <c r="E52" s="637" t="str">
        <f t="array" ref="E52:E55">INDEX(TYPE.choices,{2;3;4;6})</f>
        <v>Serviced Accommodation</v>
      </c>
      <c r="F52" s="623">
        <f>INDEX(DATA!H:H,MATCH(CHARTYEAR&amp;"."&amp;"VISITOR DAYS"&amp;"."&amp;$E52,DATA!$C:$C,0))</f>
        <v>176.79427095881152</v>
      </c>
      <c r="G52" s="623">
        <f>INDEX(DATA!I:I,MATCH(CHARTYEAR&amp;"."&amp;"VISITOR DAYS"&amp;"."&amp;$E52,DATA!$C:$C,0))</f>
        <v>300.54478724717552</v>
      </c>
      <c r="H52" s="623">
        <f>INDEX(DATA!J:J,MATCH(CHARTYEAR&amp;"."&amp;"VISITOR DAYS"&amp;"."&amp;$E52,DATA!$C:$C,0))</f>
        <v>381.38220595552968</v>
      </c>
      <c r="I52" s="623">
        <f>INDEX(DATA!K:K,MATCH(CHARTYEAR&amp;"."&amp;"VISITOR DAYS"&amp;"."&amp;$E52,DATA!$C:$C,0))</f>
        <v>388.51786800331871</v>
      </c>
      <c r="J52" s="623">
        <f>INDEX(DATA!L:L,MATCH(CHARTYEAR&amp;"."&amp;"VISITOR DAYS"&amp;"."&amp;$E52,DATA!$C:$C,0))</f>
        <v>488.39307236226318</v>
      </c>
      <c r="K52" s="623">
        <f>INDEX(DATA!M:M,MATCH(CHARTYEAR&amp;"."&amp;"VISITOR DAYS"&amp;"."&amp;$E52,DATA!$C:$C,0))</f>
        <v>479.16599421588762</v>
      </c>
      <c r="L52" s="623">
        <f>INDEX(DATA!N:N,MATCH(CHARTYEAR&amp;"."&amp;"VISITOR DAYS"&amp;"."&amp;$E52,DATA!$C:$C,0))</f>
        <v>568.01512881050598</v>
      </c>
      <c r="M52" s="623">
        <f>INDEX(DATA!O:O,MATCH(CHARTYEAR&amp;"."&amp;"VISITOR DAYS"&amp;"."&amp;$E52,DATA!$C:$C,0))</f>
        <v>624.63947361009605</v>
      </c>
      <c r="N52" s="630">
        <f>INDEX(DATA!P:P,MATCH(CHARTYEAR&amp;"."&amp;"VISITOR DAYS"&amp;"."&amp;$E52,DATA!$C:$C,0))</f>
        <v>449.07699906526136</v>
      </c>
      <c r="O52" s="630">
        <f>INDEX(DATA!Q:Q,MATCH(CHARTYEAR&amp;"."&amp;"VISITOR DAYS"&amp;"."&amp;$E52,DATA!$C:$C,0))</f>
        <v>386.24229970562413</v>
      </c>
      <c r="P52" s="630">
        <f>INDEX(DATA!R:R,MATCH(CHARTYEAR&amp;"."&amp;"VISITOR DAYS"&amp;"."&amp;$E52,DATA!$C:$C,0))</f>
        <v>385.99185105596325</v>
      </c>
      <c r="Q52" s="630">
        <f>INDEX(DATA!S:S,MATCH(CHARTYEAR&amp;"."&amp;"VISITOR DAYS"&amp;"."&amp;$E52,DATA!$C:$C,0))</f>
        <v>282.22279841551165</v>
      </c>
      <c r="R52" s="625"/>
      <c r="S52" s="629"/>
      <c r="T52" s="627"/>
      <c r="U52" s="629"/>
      <c r="V52" s="629"/>
      <c r="W52" s="621"/>
    </row>
    <row r="53" spans="3:23" ht="16.2" customHeight="1" x14ac:dyDescent="0.3">
      <c r="C53" s="621"/>
      <c r="D53" s="619"/>
      <c r="E53" s="637" t="str">
        <v>Non-Serviced Accommodation</v>
      </c>
      <c r="F53" s="623">
        <f>INDEX(DATA!H:H,MATCH(CHARTYEAR&amp;"."&amp;"VISITOR DAYS"&amp;"."&amp;$E53,DATA!$C:$C,0))</f>
        <v>1027.5849240072798</v>
      </c>
      <c r="G53" s="623">
        <f>INDEX(DATA!I:I,MATCH(CHARTYEAR&amp;"."&amp;"VISITOR DAYS"&amp;"."&amp;$E53,DATA!$C:$C,0))</f>
        <v>1240.7803372429066</v>
      </c>
      <c r="H53" s="623">
        <f>INDEX(DATA!J:J,MATCH(CHARTYEAR&amp;"."&amp;"VISITOR DAYS"&amp;"."&amp;$E53,DATA!$C:$C,0))</f>
        <v>3781.5533484508128</v>
      </c>
      <c r="I53" s="623">
        <f>INDEX(DATA!K:K,MATCH(CHARTYEAR&amp;"."&amp;"VISITOR DAYS"&amp;"."&amp;$E53,DATA!$C:$C,0))</f>
        <v>4084.3551255329503</v>
      </c>
      <c r="J53" s="623">
        <f>INDEX(DATA!L:L,MATCH(CHARTYEAR&amp;"."&amp;"VISITOR DAYS"&amp;"."&amp;$E53,DATA!$C:$C,0))</f>
        <v>4515.9094219132758</v>
      </c>
      <c r="K53" s="623">
        <f>INDEX(DATA!M:M,MATCH(CHARTYEAR&amp;"."&amp;"VISITOR DAYS"&amp;"."&amp;$E53,DATA!$C:$C,0))</f>
        <v>4900.0348326342028</v>
      </c>
      <c r="L53" s="623">
        <f>INDEX(DATA!N:N,MATCH(CHARTYEAR&amp;"."&amp;"VISITOR DAYS"&amp;"."&amp;$E53,DATA!$C:$C,0))</f>
        <v>5816.4349207583164</v>
      </c>
      <c r="M53" s="623">
        <f>INDEX(DATA!O:O,MATCH(CHARTYEAR&amp;"."&amp;"VISITOR DAYS"&amp;"."&amp;$E53,DATA!$C:$C,0))</f>
        <v>5826.4780521166495</v>
      </c>
      <c r="N53" s="630">
        <f>INDEX(DATA!P:P,MATCH(CHARTYEAR&amp;"."&amp;"VISITOR DAYS"&amp;"."&amp;$E53,DATA!$C:$C,0))</f>
        <v>4307.6942435413639</v>
      </c>
      <c r="O53" s="630">
        <f>INDEX(DATA!Q:Q,MATCH(CHARTYEAR&amp;"."&amp;"VISITOR DAYS"&amp;"."&amp;$E53,DATA!$C:$C,0))</f>
        <v>3991.1307083678939</v>
      </c>
      <c r="P53" s="630">
        <f>INDEX(DATA!R:R,MATCH(CHARTYEAR&amp;"."&amp;"VISITOR DAYS"&amp;"."&amp;$E53,DATA!$C:$C,0))</f>
        <v>1697.9881136234599</v>
      </c>
      <c r="Q53" s="630">
        <f>INDEX(DATA!S:S,MATCH(CHARTYEAR&amp;"."&amp;"VISITOR DAYS"&amp;"."&amp;$E53,DATA!$C:$C,0))</f>
        <v>1180.631372550524</v>
      </c>
      <c r="R53" s="625"/>
      <c r="S53" s="629"/>
      <c r="T53" s="627"/>
      <c r="U53" s="629"/>
      <c r="V53" s="629"/>
      <c r="W53" s="621"/>
    </row>
    <row r="54" spans="3:23" ht="16.2" customHeight="1" x14ac:dyDescent="0.3">
      <c r="C54" s="621"/>
      <c r="D54" s="619"/>
      <c r="E54" s="638" t="str">
        <v>SFR</v>
      </c>
      <c r="F54" s="623">
        <f>INDEX(DATA!H:H,MATCH(CHARTYEAR&amp;"."&amp;"VISITOR DAYS"&amp;"."&amp;$E54,DATA!$C:$C,0))</f>
        <v>351.35693181818181</v>
      </c>
      <c r="G54" s="623">
        <f>INDEX(DATA!I:I,MATCH(CHARTYEAR&amp;"."&amp;"VISITOR DAYS"&amp;"."&amp;$E54,DATA!$C:$C,0))</f>
        <v>118.05592909090907</v>
      </c>
      <c r="H54" s="623">
        <f>INDEX(DATA!J:J,MATCH(CHARTYEAR&amp;"."&amp;"VISITOR DAYS"&amp;"."&amp;$E54,DATA!$C:$C,0))</f>
        <v>134.29642727272727</v>
      </c>
      <c r="I54" s="623">
        <f>INDEX(DATA!K:K,MATCH(CHARTYEAR&amp;"."&amp;"VISITOR DAYS"&amp;"."&amp;$E54,DATA!$C:$C,0))</f>
        <v>320.43752181818178</v>
      </c>
      <c r="J54" s="623">
        <f>INDEX(DATA!L:L,MATCH(CHARTYEAR&amp;"."&amp;"VISITOR DAYS"&amp;"."&amp;$E54,DATA!$C:$C,0))</f>
        <v>206.1294</v>
      </c>
      <c r="K54" s="623">
        <f>INDEX(DATA!M:M,MATCH(CHARTYEAR&amp;"."&amp;"VISITOR DAYS"&amp;"."&amp;$E54,DATA!$C:$C,0))</f>
        <v>158.78522462727273</v>
      </c>
      <c r="L54" s="623">
        <f>INDEX(DATA!N:N,MATCH(CHARTYEAR&amp;"."&amp;"VISITOR DAYS"&amp;"."&amp;$E54,DATA!$C:$C,0))</f>
        <v>257.66174999999998</v>
      </c>
      <c r="M54" s="623">
        <f>INDEX(DATA!O:O,MATCH(CHARTYEAR&amp;"."&amp;"VISITOR DAYS"&amp;"."&amp;$E54,DATA!$C:$C,0))</f>
        <v>272.75916696363635</v>
      </c>
      <c r="N54" s="630">
        <f>INDEX(DATA!P:P,MATCH(CHARTYEAR&amp;"."&amp;"VISITOR DAYS"&amp;"."&amp;$E54,DATA!$C:$C,0))</f>
        <v>140.49311428090908</v>
      </c>
      <c r="O54" s="630">
        <f>INDEX(DATA!Q:Q,MATCH(CHARTYEAR&amp;"."&amp;"VISITOR DAYS"&amp;"."&amp;$E54,DATA!$C:$C,0))</f>
        <v>140.35538236363635</v>
      </c>
      <c r="P54" s="630">
        <f>INDEX(DATA!R:R,MATCH(CHARTYEAR&amp;"."&amp;"VISITOR DAYS"&amp;"."&amp;$E54,DATA!$C:$C,0))</f>
        <v>109.36570097727271</v>
      </c>
      <c r="Q54" s="630">
        <f>INDEX(DATA!S:S,MATCH(CHARTYEAR&amp;"."&amp;"VISITOR DAYS"&amp;"."&amp;$E54,DATA!$C:$C,0))</f>
        <v>316.68971454545454</v>
      </c>
      <c r="R54" s="625"/>
      <c r="S54" s="621"/>
      <c r="T54" s="621"/>
      <c r="U54" s="621"/>
      <c r="V54" s="621"/>
      <c r="W54" s="621"/>
    </row>
    <row r="55" spans="3:23" ht="16.2" customHeight="1" x14ac:dyDescent="0.3">
      <c r="C55" s="621"/>
      <c r="D55" s="619"/>
      <c r="E55" s="637" t="str">
        <v>Day Visitor</v>
      </c>
      <c r="F55" s="623">
        <f>INDEX(DATA!H:H,MATCH(CHARTYEAR&amp;"."&amp;"VISITOR DAYS"&amp;"."&amp;$E55,DATA!$C:$C,0))</f>
        <v>599.15083417819619</v>
      </c>
      <c r="G55" s="623">
        <f>INDEX(DATA!I:I,MATCH(CHARTYEAR&amp;"."&amp;"VISITOR DAYS"&amp;"."&amp;$E55,DATA!$C:$C,0))</f>
        <v>636.12632893522982</v>
      </c>
      <c r="H55" s="623">
        <f>INDEX(DATA!J:J,MATCH(CHARTYEAR&amp;"."&amp;"VISITOR DAYS"&amp;"."&amp;$E55,DATA!$C:$C,0))</f>
        <v>1468.1242162631584</v>
      </c>
      <c r="I55" s="623">
        <f>INDEX(DATA!K:K,MATCH(CHARTYEAR&amp;"."&amp;"VISITOR DAYS"&amp;"."&amp;$E55,DATA!$C:$C,0))</f>
        <v>1900.1354615571277</v>
      </c>
      <c r="J55" s="623">
        <f>INDEX(DATA!L:L,MATCH(CHARTYEAR&amp;"."&amp;"VISITOR DAYS"&amp;"."&amp;$E55,DATA!$C:$C,0))</f>
        <v>1869.5239423492781</v>
      </c>
      <c r="K55" s="623">
        <f>INDEX(DATA!M:M,MATCH(CHARTYEAR&amp;"."&amp;"VISITOR DAYS"&amp;"."&amp;$E55,DATA!$C:$C,0))</f>
        <v>2270.7273945563538</v>
      </c>
      <c r="L55" s="623">
        <f>INDEX(DATA!N:N,MATCH(CHARTYEAR&amp;"."&amp;"VISITOR DAYS"&amp;"."&amp;$E55,DATA!$C:$C,0))</f>
        <v>3000.0417692185865</v>
      </c>
      <c r="M55" s="623">
        <f>INDEX(DATA!O:O,MATCH(CHARTYEAR&amp;"."&amp;"VISITOR DAYS"&amp;"."&amp;$E55,DATA!$C:$C,0))</f>
        <v>3793.1113902652169</v>
      </c>
      <c r="N55" s="630">
        <f>INDEX(DATA!P:P,MATCH(CHARTYEAR&amp;"."&amp;"VISITOR DAYS"&amp;"."&amp;$E55,DATA!$C:$C,0))</f>
        <v>1799.0574652660462</v>
      </c>
      <c r="O55" s="630">
        <f>INDEX(DATA!Q:Q,MATCH(CHARTYEAR&amp;"."&amp;"VISITOR DAYS"&amp;"."&amp;$E55,DATA!$C:$C,0))</f>
        <v>1541.2672049294947</v>
      </c>
      <c r="P55" s="630">
        <f>INDEX(DATA!R:R,MATCH(CHARTYEAR&amp;"."&amp;"VISITOR DAYS"&amp;"."&amp;$E55,DATA!$C:$C,0))</f>
        <v>791.19923055943582</v>
      </c>
      <c r="Q55" s="630">
        <f>INDEX(DATA!S:S,MATCH(CHARTYEAR&amp;"."&amp;"VISITOR DAYS"&amp;"."&amp;$E55,DATA!$C:$C,0))</f>
        <v>501.81065836001608</v>
      </c>
      <c r="R55" s="625"/>
      <c r="S55" s="624"/>
      <c r="T55" s="624"/>
      <c r="U55" s="624"/>
      <c r="V55" s="624"/>
      <c r="W55" s="621"/>
    </row>
    <row r="56" spans="3:23" ht="16.2" customHeight="1" x14ac:dyDescent="0.3">
      <c r="C56" s="621"/>
      <c r="D56" s="619"/>
      <c r="E56" s="637" t="str">
        <f t="array" ref="E56:E59">INDEX(TYPE.choices,{2;3;4;6})</f>
        <v>Serviced Accommodation</v>
      </c>
      <c r="F56" s="631">
        <f>INDEX(DATA!H:H,MATCH(CHARTYEAR&amp;"."&amp;"EMPLOYMENT"&amp;"."&amp;$E56,DATA!$C:$C,0))</f>
        <v>5445.6394067227111</v>
      </c>
      <c r="G56" s="631">
        <f>INDEX(DATA!I:I,MATCH(CHARTYEAR&amp;"."&amp;"EMPLOYMENT"&amp;"."&amp;$E56,DATA!$C:$C,0))</f>
        <v>6317.143364989136</v>
      </c>
      <c r="H56" s="631">
        <f>INDEX(DATA!J:J,MATCH(CHARTYEAR&amp;"."&amp;"EMPLOYMENT"&amp;"."&amp;$E56,DATA!$C:$C,0))</f>
        <v>7047.1562479974064</v>
      </c>
      <c r="I56" s="631">
        <f>INDEX(DATA!K:K,MATCH(CHARTYEAR&amp;"."&amp;"EMPLOYMENT"&amp;"."&amp;$E56,DATA!$C:$C,0))</f>
        <v>6967.8244038534303</v>
      </c>
      <c r="J56" s="631">
        <f>INDEX(DATA!L:L,MATCH(CHARTYEAR&amp;"."&amp;"EMPLOYMENT"&amp;"."&amp;$E56,DATA!$C:$C,0))</f>
        <v>7539.4294783702371</v>
      </c>
      <c r="K56" s="631">
        <f>INDEX(DATA!M:M,MATCH(CHARTYEAR&amp;"."&amp;"EMPLOYMENT"&amp;"."&amp;$E56,DATA!$C:$C,0))</f>
        <v>7418.8513853463137</v>
      </c>
      <c r="L56" s="631">
        <f>INDEX(DATA!N:N,MATCH(CHARTYEAR&amp;"."&amp;"EMPLOYMENT"&amp;"."&amp;$E56,DATA!$C:$C,0))</f>
        <v>8480.6859398265296</v>
      </c>
      <c r="M56" s="631">
        <f>INDEX(DATA!O:O,MATCH(CHARTYEAR&amp;"."&amp;"EMPLOYMENT"&amp;"."&amp;$E56,DATA!$C:$C,0))</f>
        <v>9043.5264163262691</v>
      </c>
      <c r="N56" s="631">
        <f>INDEX(DATA!P:P,MATCH(CHARTYEAR&amp;"."&amp;"EMPLOYMENT"&amp;"."&amp;$E56,DATA!$C:$C,0))</f>
        <v>7310.0868951301472</v>
      </c>
      <c r="O56" s="631">
        <f>INDEX(DATA!Q:Q,MATCH(CHARTYEAR&amp;"."&amp;"EMPLOYMENT"&amp;"."&amp;$E56,DATA!$C:$C,0))</f>
        <v>6950.5499979845317</v>
      </c>
      <c r="P56" s="631">
        <f>INDEX(DATA!R:R,MATCH(CHARTYEAR&amp;"."&amp;"EMPLOYMENT"&amp;"."&amp;$E56,DATA!$C:$C,0))</f>
        <v>6782.0600815344442</v>
      </c>
      <c r="Q56" s="631">
        <f>INDEX(DATA!S:S,MATCH(CHARTYEAR&amp;"."&amp;"EMPLOYMENT"&amp;"."&amp;$E56,DATA!$C:$C,0))</f>
        <v>6157.3622973163519</v>
      </c>
      <c r="R56" s="625"/>
      <c r="S56" s="625"/>
      <c r="T56" s="625"/>
      <c r="U56" s="625"/>
      <c r="V56" s="621"/>
      <c r="W56" s="621"/>
    </row>
    <row r="57" spans="3:23" ht="16.2" customHeight="1" x14ac:dyDescent="0.3">
      <c r="C57" s="621"/>
      <c r="D57" s="619"/>
      <c r="E57" s="637" t="str">
        <v>Non-Serviced Accommodation</v>
      </c>
      <c r="F57" s="631">
        <f>INDEX(DATA!H:H,MATCH(CHARTYEAR&amp;"."&amp;"EMPLOYMENT"&amp;"."&amp;$E57,DATA!$C:$C,0))</f>
        <v>9854.3139231415425</v>
      </c>
      <c r="G57" s="631">
        <f>INDEX(DATA!I:I,MATCH(CHARTYEAR&amp;"."&amp;"EMPLOYMENT"&amp;"."&amp;$E57,DATA!$C:$C,0))</f>
        <v>12493.053772449242</v>
      </c>
      <c r="H57" s="631">
        <f>INDEX(DATA!J:J,MATCH(CHARTYEAR&amp;"."&amp;"EMPLOYMENT"&amp;"."&amp;$E57,DATA!$C:$C,0))</f>
        <v>22383.860503025571</v>
      </c>
      <c r="I57" s="631">
        <f>INDEX(DATA!K:K,MATCH(CHARTYEAR&amp;"."&amp;"EMPLOYMENT"&amp;"."&amp;$E57,DATA!$C:$C,0))</f>
        <v>22682.226624089824</v>
      </c>
      <c r="J57" s="631">
        <f>INDEX(DATA!L:L,MATCH(CHARTYEAR&amp;"."&amp;"EMPLOYMENT"&amp;"."&amp;$E57,DATA!$C:$C,0))</f>
        <v>24322.970485547801</v>
      </c>
      <c r="K57" s="631">
        <f>INDEX(DATA!M:M,MATCH(CHARTYEAR&amp;"."&amp;"EMPLOYMENT"&amp;"."&amp;$E57,DATA!$C:$C,0))</f>
        <v>26078.866633187052</v>
      </c>
      <c r="L57" s="631">
        <f>INDEX(DATA!N:N,MATCH(CHARTYEAR&amp;"."&amp;"EMPLOYMENT"&amp;"."&amp;$E57,DATA!$C:$C,0))</f>
        <v>29173.960148574814</v>
      </c>
      <c r="M57" s="631">
        <f>INDEX(DATA!O:O,MATCH(CHARTYEAR&amp;"."&amp;"EMPLOYMENT"&amp;"."&amp;$E57,DATA!$C:$C,0))</f>
        <v>29128.192602536361</v>
      </c>
      <c r="N57" s="631">
        <f>INDEX(DATA!P:P,MATCH(CHARTYEAR&amp;"."&amp;"EMPLOYMENT"&amp;"."&amp;$E57,DATA!$C:$C,0))</f>
        <v>23476.679533723353</v>
      </c>
      <c r="O57" s="631">
        <f>INDEX(DATA!Q:Q,MATCH(CHARTYEAR&amp;"."&amp;"EMPLOYMENT"&amp;"."&amp;$E57,DATA!$C:$C,0))</f>
        <v>22226.68922442948</v>
      </c>
      <c r="P57" s="631">
        <f>INDEX(DATA!R:R,MATCH(CHARTYEAR&amp;"."&amp;"EMPLOYMENT"&amp;"."&amp;$E57,DATA!$C:$C,0))</f>
        <v>12458.622510664536</v>
      </c>
      <c r="Q57" s="631">
        <f>INDEX(DATA!S:S,MATCH(CHARTYEAR&amp;"."&amp;"EMPLOYMENT"&amp;"."&amp;$E57,DATA!$C:$C,0))</f>
        <v>10282.805923808959</v>
      </c>
      <c r="R57" s="632"/>
      <c r="S57" s="632"/>
      <c r="T57" s="632"/>
      <c r="U57" s="632"/>
      <c r="V57" s="621"/>
      <c r="W57" s="621"/>
    </row>
    <row r="58" spans="3:23" ht="16.2" customHeight="1" x14ac:dyDescent="0.3">
      <c r="C58" s="621"/>
      <c r="D58" s="619"/>
      <c r="E58" s="638" t="str">
        <v>SFR</v>
      </c>
      <c r="F58" s="631">
        <f>INDEX(DATA!H:H,MATCH(CHARTYEAR&amp;"."&amp;"EMPLOYMENT"&amp;"."&amp;$E58,DATA!$C:$C,0))</f>
        <v>1649.7473280532504</v>
      </c>
      <c r="G58" s="631">
        <f>INDEX(DATA!I:I,MATCH(CHARTYEAR&amp;"."&amp;"EMPLOYMENT"&amp;"."&amp;$E58,DATA!$C:$C,0))</f>
        <v>554.31510222589213</v>
      </c>
      <c r="H58" s="631">
        <f>INDEX(DATA!J:J,MATCH(CHARTYEAR&amp;"."&amp;"EMPLOYMENT"&amp;"."&amp;$E58,DATA!$C:$C,0))</f>
        <v>630.57008983368689</v>
      </c>
      <c r="I58" s="631">
        <f>INDEX(DATA!K:K,MATCH(CHARTYEAR&amp;"."&amp;"EMPLOYMENT"&amp;"."&amp;$E58,DATA!$C:$C,0))</f>
        <v>1463.5502677645889</v>
      </c>
      <c r="J58" s="631">
        <f>INDEX(DATA!L:L,MATCH(CHARTYEAR&amp;"."&amp;"EMPLOYMENT"&amp;"."&amp;$E58,DATA!$C:$C,0))</f>
        <v>941.46508452692842</v>
      </c>
      <c r="K58" s="631">
        <f>INDEX(DATA!M:M,MATCH(CHARTYEAR&amp;"."&amp;"EMPLOYMENT"&amp;"."&amp;$E58,DATA!$C:$C,0))</f>
        <v>725.22767215808437</v>
      </c>
      <c r="L58" s="631">
        <f>INDEX(DATA!N:N,MATCH(CHARTYEAR&amp;"."&amp;"EMPLOYMENT"&amp;"."&amp;$E58,DATA!$C:$C,0))</f>
        <v>1176.8313556586606</v>
      </c>
      <c r="M58" s="631">
        <f>INDEX(DATA!O:O,MATCH(CHARTYEAR&amp;"."&amp;"EMPLOYMENT"&amp;"."&amp;$E58,DATA!$C:$C,0))</f>
        <v>1245.7865407890117</v>
      </c>
      <c r="N58" s="631">
        <f>INDEX(DATA!P:P,MATCH(CHARTYEAR&amp;"."&amp;"EMPLOYMENT"&amp;"."&amp;$E58,DATA!$C:$C,0))</f>
        <v>641.6812046798151</v>
      </c>
      <c r="O58" s="631">
        <f>INDEX(DATA!Q:Q,MATCH(CHARTYEAR&amp;"."&amp;"EMPLOYMENT"&amp;"."&amp;$E58,DATA!$C:$C,0))</f>
        <v>641.05213482788122</v>
      </c>
      <c r="P58" s="631">
        <f>INDEX(DATA!R:R,MATCH(CHARTYEAR&amp;"."&amp;"EMPLOYMENT"&amp;"."&amp;$E58,DATA!$C:$C,0))</f>
        <v>499.51141814275326</v>
      </c>
      <c r="Q58" s="631">
        <f>INDEX(DATA!S:S,MATCH(CHARTYEAR&amp;"."&amp;"EMPLOYMENT"&amp;"."&amp;$E58,DATA!$C:$C,0))</f>
        <v>1446.4327207731901</v>
      </c>
      <c r="R58" s="627"/>
      <c r="S58" s="627"/>
      <c r="T58" s="627"/>
      <c r="U58" s="627"/>
      <c r="V58" s="621"/>
      <c r="W58" s="621"/>
    </row>
    <row r="59" spans="3:23" ht="16.2" customHeight="1" x14ac:dyDescent="0.3">
      <c r="C59" s="621"/>
      <c r="D59" s="619"/>
      <c r="E59" s="637" t="str">
        <v>Day Visitor</v>
      </c>
      <c r="F59" s="631">
        <f>INDEX(DATA!H:H,MATCH(CHARTYEAR&amp;"."&amp;"EMPLOYMENT"&amp;"."&amp;$E59,DATA!$C:$C,0))</f>
        <v>2599.8810555059758</v>
      </c>
      <c r="G59" s="631">
        <f>INDEX(DATA!I:I,MATCH(CHARTYEAR&amp;"."&amp;"EMPLOYMENT"&amp;"."&amp;$E59,DATA!$C:$C,0))</f>
        <v>2932.2503597449372</v>
      </c>
      <c r="H59" s="631">
        <f>INDEX(DATA!J:J,MATCH(CHARTYEAR&amp;"."&amp;"EMPLOYMENT"&amp;"."&amp;$E59,DATA!$C:$C,0))</f>
        <v>6545.6813375087177</v>
      </c>
      <c r="I59" s="631">
        <f>INDEX(DATA!K:K,MATCH(CHARTYEAR&amp;"."&amp;"EMPLOYMENT"&amp;"."&amp;$E59,DATA!$C:$C,0))</f>
        <v>8770.5181749797975</v>
      </c>
      <c r="J59" s="631">
        <f>INDEX(DATA!L:L,MATCH(CHARTYEAR&amp;"."&amp;"EMPLOYMENT"&amp;"."&amp;$E59,DATA!$C:$C,0))</f>
        <v>8564.9167521895106</v>
      </c>
      <c r="K59" s="631">
        <f>INDEX(DATA!M:M,MATCH(CHARTYEAR&amp;"."&amp;"EMPLOYMENT"&amp;"."&amp;$E59,DATA!$C:$C,0))</f>
        <v>10407.905748156694</v>
      </c>
      <c r="L59" s="631">
        <f>INDEX(DATA!N:N,MATCH(CHARTYEAR&amp;"."&amp;"EMPLOYMENT"&amp;"."&amp;$E59,DATA!$C:$C,0))</f>
        <v>13582.233009792802</v>
      </c>
      <c r="M59" s="631">
        <f>INDEX(DATA!O:O,MATCH(CHARTYEAR&amp;"."&amp;"EMPLOYMENT"&amp;"."&amp;$E59,DATA!$C:$C,0))</f>
        <v>17242.964509599733</v>
      </c>
      <c r="N59" s="631">
        <f>INDEX(DATA!P:P,MATCH(CHARTYEAR&amp;"."&amp;"EMPLOYMENT"&amp;"."&amp;$E59,DATA!$C:$C,0))</f>
        <v>8176.2244897574001</v>
      </c>
      <c r="O59" s="631">
        <f>INDEX(DATA!Q:Q,MATCH(CHARTYEAR&amp;"."&amp;"EMPLOYMENT"&amp;"."&amp;$E59,DATA!$C:$C,0))</f>
        <v>6796.8134798421006</v>
      </c>
      <c r="P59" s="631">
        <f>INDEX(DATA!R:R,MATCH(CHARTYEAR&amp;"."&amp;"EMPLOYMENT"&amp;"."&amp;$E59,DATA!$C:$C,0))</f>
        <v>3405.1669415317306</v>
      </c>
      <c r="Q59" s="631">
        <f>INDEX(DATA!S:S,MATCH(CHARTYEAR&amp;"."&amp;"EMPLOYMENT"&amp;"."&amp;$E59,DATA!$C:$C,0))</f>
        <v>2119.4872581576842</v>
      </c>
      <c r="R59" s="627"/>
      <c r="S59" s="627"/>
      <c r="T59" s="627"/>
      <c r="U59" s="627"/>
      <c r="V59" s="621"/>
      <c r="W59" s="621"/>
    </row>
    <row r="60" spans="3:23" ht="16.2" customHeight="1" x14ac:dyDescent="0.3">
      <c r="C60" s="621"/>
      <c r="D60" s="619"/>
      <c r="E60" s="635">
        <f>CHARTYEAR</f>
        <v>2022</v>
      </c>
      <c r="F60" s="639" t="str">
        <f t="array" ref="F60:Q60">{"Jan","Feb","Mar","Apr","May","Jun","Jul","Aug","Sep","Oct","Nov","Dec"}</f>
        <v>Jan</v>
      </c>
      <c r="G60" s="640" t="str">
        <v>Feb</v>
      </c>
      <c r="H60" s="639" t="str">
        <v>Mar</v>
      </c>
      <c r="I60" s="639" t="str">
        <v>Apr</v>
      </c>
      <c r="J60" s="639" t="str">
        <v>May</v>
      </c>
      <c r="K60" s="639" t="str">
        <v>Jun</v>
      </c>
      <c r="L60" s="639" t="str">
        <v>Jul</v>
      </c>
      <c r="M60" s="639" t="str">
        <v>Aug</v>
      </c>
      <c r="N60" s="639" t="str">
        <v>Sep</v>
      </c>
      <c r="O60" s="639" t="str">
        <v>Oct</v>
      </c>
      <c r="P60" s="639" t="str">
        <v>Nov</v>
      </c>
      <c r="Q60" s="639" t="str">
        <v>Dec</v>
      </c>
      <c r="R60" s="627"/>
      <c r="S60" s="627"/>
      <c r="T60" s="627"/>
      <c r="U60" s="627"/>
      <c r="V60" s="621"/>
      <c r="W60" s="621"/>
    </row>
    <row r="61" spans="3:23" ht="16.2" customHeight="1" x14ac:dyDescent="0.3">
      <c r="C61" s="621"/>
      <c r="D61" s="619"/>
      <c r="E61" s="641" t="s">
        <v>54</v>
      </c>
      <c r="F61" s="633">
        <f>INDEX(DATA!H:H,MATCH(CHARTYEAR&amp;"."&amp;"ECONOMIC IMPACT"&amp;"."&amp;$E61,DATA!$C:$C,0))*INDEX(REP.indexationfactors,(MATCH(CHARTYEAR,REP.yearsrange,0)))/$A$2</f>
        <v>131.68551792690806</v>
      </c>
      <c r="G61" s="633">
        <f>INDEX(DATA!I:I,MATCH(CHARTYEAR&amp;"."&amp;"ECONOMIC IMPACT"&amp;"."&amp;$E61,DATA!$C:$C,0))*INDEX(REP.indexationfactors,(MATCH(CHARTYEAR,REP.yearsrange,0)))/$A$2</f>
        <v>153.48957081713533</v>
      </c>
      <c r="H61" s="633">
        <f>INDEX(DATA!J:J,MATCH(CHARTYEAR&amp;"."&amp;"ECONOMIC IMPACT"&amp;"."&amp;$E61,DATA!$C:$C,0))*INDEX(REP.indexationfactors,(MATCH(CHARTYEAR,REP.yearsrange,0)))/$A$2</f>
        <v>330.56680716469072</v>
      </c>
      <c r="I61" s="633">
        <f>INDEX(DATA!K:K,MATCH(CHARTYEAR&amp;"."&amp;"ECONOMIC IMPACT"&amp;"."&amp;$E61,DATA!$C:$C,0))*INDEX(REP.indexationfactors,(MATCH(CHARTYEAR,REP.yearsrange,0)))/$A$2</f>
        <v>378.71561828543935</v>
      </c>
      <c r="J61" s="633">
        <f>INDEX(DATA!L:L,MATCH(CHARTYEAR&amp;"."&amp;"ECONOMIC IMPACT"&amp;"."&amp;$E61,DATA!$C:$C,0))*INDEX(REP.indexationfactors,(MATCH(CHARTYEAR,REP.yearsrange,0)))/$A$2</f>
        <v>399.2685562431721</v>
      </c>
      <c r="K61" s="633">
        <f>INDEX(DATA!M:M,MATCH(CHARTYEAR&amp;"."&amp;"ECONOMIC IMPACT"&amp;"."&amp;$E61,DATA!$C:$C,0))*INDEX(REP.indexationfactors,(MATCH(CHARTYEAR,REP.yearsrange,0)))/$A$2</f>
        <v>440.37025803086584</v>
      </c>
      <c r="L61" s="633">
        <f>INDEX(DATA!N:N,MATCH(CHARTYEAR&amp;"."&amp;"ECONOMIC IMPACT"&amp;"."&amp;$E61,DATA!$C:$C,0))*INDEX(REP.indexationfactors,(MATCH(CHARTYEAR,REP.yearsrange,0)))/$A$2</f>
        <v>579.89493842291233</v>
      </c>
      <c r="M61" s="633">
        <f>INDEX(DATA!O:O,MATCH(CHARTYEAR&amp;"."&amp;"ECONOMIC IMPACT"&amp;"."&amp;$E61,DATA!$C:$C,0))*INDEX(REP.indexationfactors,(MATCH(CHARTYEAR,REP.yearsrange,0)))/$A$2</f>
        <v>630.00476844196965</v>
      </c>
      <c r="N61" s="633">
        <f>INDEX(DATA!P:P,MATCH(CHARTYEAR&amp;"."&amp;"ECONOMIC IMPACT"&amp;"."&amp;$E61,DATA!$C:$C,0))*INDEX(REP.indexationfactors,(MATCH(CHARTYEAR,REP.yearsrange,0)))/$A$2</f>
        <v>428.62066337548998</v>
      </c>
      <c r="O61" s="633">
        <f>INDEX(DATA!Q:Q,MATCH(CHARTYEAR&amp;"."&amp;"ECONOMIC IMPACT"&amp;"."&amp;$E61,DATA!$C:$C,0))*INDEX(REP.indexationfactors,(MATCH(CHARTYEAR,REP.yearsrange,0)))/$A$2</f>
        <v>341.52385138245234</v>
      </c>
      <c r="P61" s="633">
        <f>INDEX(DATA!R:R,MATCH(CHARTYEAR&amp;"."&amp;"ECONOMIC IMPACT"&amp;"."&amp;$E61,DATA!$C:$C,0))*INDEX(REP.indexationfactors,(MATCH(CHARTYEAR,REP.yearsrange,0)))/$A$2</f>
        <v>190.84188159988025</v>
      </c>
      <c r="Q61" s="633">
        <f>INDEX(DATA!S:S,MATCH(CHARTYEAR&amp;"."&amp;"ECONOMIC IMPACT"&amp;"."&amp;$E61,DATA!$C:$C,0))*INDEX(REP.indexationfactors,(MATCH(CHARTYEAR,REP.yearsrange,0)))/$A$2</f>
        <v>153.15132938730542</v>
      </c>
      <c r="R61" s="634"/>
      <c r="S61" s="629"/>
      <c r="T61" s="629"/>
      <c r="U61" s="629"/>
      <c r="V61" s="621"/>
      <c r="W61" s="621"/>
    </row>
    <row r="62" spans="3:23" ht="16.2" customHeight="1" x14ac:dyDescent="0.3">
      <c r="C62" s="621"/>
      <c r="D62" s="619"/>
      <c r="E62" s="641" t="s">
        <v>54</v>
      </c>
      <c r="F62" s="633">
        <f>INDEX(DATA!H:H,MATCH(CHARTYEAR&amp;"."&amp;"VISITOR NUMBERS"&amp;"."&amp;$E62,DATA!$C:$C,0))/$B$2</f>
        <v>1156.1784466727759</v>
      </c>
      <c r="G62" s="633">
        <f>INDEX(DATA!I:I,MATCH(CHARTYEAR&amp;"."&amp;"VISITOR NUMBERS"&amp;"."&amp;$E62,DATA!$C:$C,0))/$B$2</f>
        <v>1203.2419673708387</v>
      </c>
      <c r="H62" s="633">
        <f>INDEX(DATA!J:J,MATCH(CHARTYEAR&amp;"."&amp;"VISITOR NUMBERS"&amp;"."&amp;$E62,DATA!$C:$C,0))/$B$2</f>
        <v>2514.3866309671648</v>
      </c>
      <c r="I62" s="633">
        <f>INDEX(DATA!K:K,MATCH(CHARTYEAR&amp;"."&amp;"VISITOR NUMBERS"&amp;"."&amp;$E62,DATA!$C:$C,0))/$B$2</f>
        <v>2890.9177075901384</v>
      </c>
      <c r="J62" s="633">
        <f>INDEX(DATA!L:L,MATCH(CHARTYEAR&amp;"."&amp;"VISITOR NUMBERS"&amp;"."&amp;$E62,DATA!$C:$C,0))/$B$2</f>
        <v>2897.4123619076472</v>
      </c>
      <c r="K62" s="633">
        <f>INDEX(DATA!M:M,MATCH(CHARTYEAR&amp;"."&amp;"VISITOR NUMBERS"&amp;"."&amp;$E62,DATA!$C:$C,0))/$B$2</f>
        <v>3337.7767288239256</v>
      </c>
      <c r="L62" s="633">
        <f>INDEX(DATA!N:N,MATCH(CHARTYEAR&amp;"."&amp;"VISITOR NUMBERS"&amp;"."&amp;$E62,DATA!$C:$C,0))/$B$2</f>
        <v>4265.2896873629152</v>
      </c>
      <c r="M62" s="633">
        <f>INDEX(DATA!O:O,MATCH(CHARTYEAR&amp;"."&amp;"VISITOR NUMBERS"&amp;"."&amp;$E62,DATA!$C:$C,0))/$B$2</f>
        <v>5038.0022372667745</v>
      </c>
      <c r="N62" s="633">
        <f>INDEX(DATA!P:P,MATCH(CHARTYEAR&amp;"."&amp;"VISITOR NUMBERS"&amp;"."&amp;$E62,DATA!$C:$C,0))/$B$2</f>
        <v>2745.5500621753649</v>
      </c>
      <c r="O62" s="633">
        <f>INDEX(DATA!Q:Q,MATCH(CHARTYEAR&amp;"."&amp;"VISITOR NUMBERS"&amp;"."&amp;$E62,DATA!$C:$C,0))/$B$2</f>
        <v>2427.480963441335</v>
      </c>
      <c r="P62" s="633">
        <f>INDEX(DATA!R:R,MATCH(CHARTYEAR&amp;"."&amp;"VISITOR NUMBERS"&amp;"."&amp;$E62,DATA!$C:$C,0))/$B$2</f>
        <v>1463.1762009120616</v>
      </c>
      <c r="Q62" s="633">
        <f>INDEX(DATA!S:S,MATCH(CHARTYEAR&amp;"."&amp;"VISITOR NUMBERS"&amp;"."&amp;$E62,DATA!$C:$C,0))/$B$2</f>
        <v>1024.9907999896459</v>
      </c>
      <c r="R62" s="634"/>
      <c r="S62" s="629"/>
      <c r="T62" s="629"/>
      <c r="U62" s="629"/>
      <c r="V62" s="621"/>
      <c r="W62" s="621"/>
    </row>
    <row r="63" spans="3:23" ht="16.2" customHeight="1" x14ac:dyDescent="0.3">
      <c r="C63" s="621"/>
      <c r="D63" s="619"/>
      <c r="E63" s="641" t="s">
        <v>54</v>
      </c>
      <c r="F63" s="633">
        <f>INDEX(DATA!H:H,MATCH(CHARTYEAR&amp;"."&amp;"VISITOR DAYS"&amp;"."&amp;$E63,DATA!$C:$C,0))/$C$2</f>
        <v>2.154886960962469</v>
      </c>
      <c r="G63" s="633">
        <f>INDEX(DATA!I:I,MATCH(CHARTYEAR&amp;"."&amp;"VISITOR DAYS"&amp;"."&amp;$E63,DATA!$C:$C,0))/$C$2</f>
        <v>2.2955073825162207</v>
      </c>
      <c r="H63" s="633">
        <f>INDEX(DATA!J:J,MATCH(CHARTYEAR&amp;"."&amp;"VISITOR DAYS"&amp;"."&amp;$E63,DATA!$C:$C,0))/$C$2</f>
        <v>5.7653561979422285</v>
      </c>
      <c r="I63" s="633">
        <f>INDEX(DATA!K:K,MATCH(CHARTYEAR&amp;"."&amp;"VISITOR DAYS"&amp;"."&amp;$E63,DATA!$C:$C,0))/$C$2</f>
        <v>6.6934459769115779</v>
      </c>
      <c r="J63" s="633">
        <f>INDEX(DATA!L:L,MATCH(CHARTYEAR&amp;"."&amp;"VISITOR DAYS"&amp;"."&amp;$E63,DATA!$C:$C,0))/$C$2</f>
        <v>7.0799558366248165</v>
      </c>
      <c r="K63" s="633">
        <f>INDEX(DATA!M:M,MATCH(CHARTYEAR&amp;"."&amp;"VISITOR DAYS"&amp;"."&amp;$E63,DATA!$C:$C,0))/$C$2</f>
        <v>7.8087134460337166</v>
      </c>
      <c r="L63" s="633">
        <f>INDEX(DATA!N:N,MATCH(CHARTYEAR&amp;"."&amp;"VISITOR DAYS"&amp;"."&amp;$E63,DATA!$C:$C,0))/$C$2</f>
        <v>9.6421535687874087</v>
      </c>
      <c r="M63" s="633">
        <f>INDEX(DATA!O:O,MATCH(CHARTYEAR&amp;"."&amp;"VISITOR DAYS"&amp;"."&amp;$E63,DATA!$C:$C,0))/$C$2</f>
        <v>10.516988082955599</v>
      </c>
      <c r="N63" s="633">
        <f>INDEX(DATA!P:P,MATCH(CHARTYEAR&amp;"."&amp;"VISITOR DAYS"&amp;"."&amp;$E63,DATA!$C:$C,0))/$C$2</f>
        <v>6.696321822153581</v>
      </c>
      <c r="O63" s="633">
        <f>INDEX(DATA!Q:Q,MATCH(CHARTYEAR&amp;"."&amp;"VISITOR DAYS"&amp;"."&amp;$E63,DATA!$C:$C,0))/$C$2</f>
        <v>6.0589955953666488</v>
      </c>
      <c r="P63" s="633">
        <f>INDEX(DATA!R:R,MATCH(CHARTYEAR&amp;"."&amp;"VISITOR DAYS"&amp;"."&amp;$E63,DATA!$C:$C,0))/$C$2</f>
        <v>2.9845448962161316</v>
      </c>
      <c r="Q63" s="633">
        <f>INDEX(DATA!S:S,MATCH(CHARTYEAR&amp;"."&amp;"VISITOR DAYS"&amp;"."&amp;$E63,DATA!$C:$C,0))/$C$2</f>
        <v>2.2813545438715064</v>
      </c>
      <c r="R63" s="634"/>
      <c r="S63" s="629"/>
      <c r="T63" s="629"/>
      <c r="U63" s="629"/>
      <c r="V63" s="621"/>
      <c r="W63" s="621"/>
    </row>
    <row r="64" spans="3:23" ht="16.2" customHeight="1" x14ac:dyDescent="0.3">
      <c r="C64" s="621"/>
      <c r="D64" s="619"/>
      <c r="E64" s="641" t="s">
        <v>54</v>
      </c>
      <c r="F64" s="631">
        <f>INDEX(DATA!H:H,MATCH(CHARTYEAR&amp;"."&amp;"EMPLOYMENT"&amp;"."&amp;$E64,DATA!$C:$C,0))</f>
        <v>23216.358962721341</v>
      </c>
      <c r="G64" s="631">
        <f>INDEX(DATA!I:I,MATCH(CHARTYEAR&amp;"."&amp;"EMPLOYMENT"&amp;"."&amp;$E64,DATA!$C:$C,0))</f>
        <v>26547.440818709798</v>
      </c>
      <c r="H64" s="631">
        <f>INDEX(DATA!J:J,MATCH(CHARTYEAR&amp;"."&amp;"EMPLOYMENT"&amp;"."&amp;$E64,DATA!$C:$C,0))</f>
        <v>45493.104387478845</v>
      </c>
      <c r="I64" s="631">
        <f>INDEX(DATA!K:K,MATCH(CHARTYEAR&amp;"."&amp;"EMPLOYMENT"&amp;"."&amp;$E64,DATA!$C:$C,0))</f>
        <v>49835.147344510406</v>
      </c>
      <c r="J64" s="631">
        <f>INDEX(DATA!L:L,MATCH(CHARTYEAR&amp;"."&amp;"EMPLOYMENT"&amp;"."&amp;$E64,DATA!$C:$C,0))</f>
        <v>51856.526508933239</v>
      </c>
      <c r="K64" s="631">
        <f>INDEX(DATA!M:M,MATCH(CHARTYEAR&amp;"."&amp;"EMPLOYMENT"&amp;"."&amp;$E64,DATA!$C:$C,0))</f>
        <v>56182.54704013656</v>
      </c>
      <c r="L64" s="631">
        <f>INDEX(DATA!N:N,MATCH(CHARTYEAR&amp;"."&amp;"EMPLOYMENT"&amp;"."&amp;$E64,DATA!$C:$C,0))</f>
        <v>67526.437189300443</v>
      </c>
      <c r="M64" s="631">
        <f>INDEX(DATA!O:O,MATCH(CHARTYEAR&amp;"."&amp;"EMPLOYMENT"&amp;"."&amp;$E64,DATA!$C:$C,0))</f>
        <v>73061.798111116252</v>
      </c>
      <c r="N64" s="631">
        <f>INDEX(DATA!P:P,MATCH(CHARTYEAR&amp;"."&amp;"EMPLOYMENT"&amp;"."&amp;$E64,DATA!$C:$C,0))</f>
        <v>50855.498891455223</v>
      </c>
      <c r="O64" s="631">
        <f>INDEX(DATA!Q:Q,MATCH(CHARTYEAR&amp;"."&amp;"EMPLOYMENT"&amp;"."&amp;$E64,DATA!$C:$C,0))</f>
        <v>45612.405359615164</v>
      </c>
      <c r="P64" s="631">
        <f>INDEX(DATA!R:R,MATCH(CHARTYEAR&amp;"."&amp;"EMPLOYMENT"&amp;"."&amp;$E64,DATA!$C:$C,0))</f>
        <v>28149.783728254421</v>
      </c>
      <c r="Q64" s="631">
        <f>INDEX(DATA!S:S,MATCH(CHARTYEAR&amp;"."&amp;"EMPLOYMENT"&amp;"."&amp;$E64,DATA!$C:$C,0))</f>
        <v>24072.279677581053</v>
      </c>
      <c r="R64" s="625"/>
      <c r="S64" s="629"/>
      <c r="T64" s="629"/>
      <c r="U64" s="629"/>
      <c r="V64" s="621"/>
      <c r="W64" s="621"/>
    </row>
    <row r="65" spans="3:23" ht="16.2" customHeight="1" x14ac:dyDescent="0.3">
      <c r="C65" s="621"/>
      <c r="D65" s="619"/>
      <c r="E65" s="621"/>
      <c r="F65" s="621"/>
      <c r="G65" s="621"/>
      <c r="H65" s="621"/>
      <c r="I65" s="621"/>
      <c r="J65" s="621"/>
      <c r="K65" s="621"/>
      <c r="L65" s="621"/>
      <c r="M65" s="621"/>
      <c r="N65" s="621"/>
      <c r="O65" s="621"/>
      <c r="P65" s="621"/>
      <c r="Q65" s="621"/>
      <c r="R65" s="621"/>
      <c r="S65" s="621"/>
      <c r="T65" s="621"/>
      <c r="U65" s="621"/>
      <c r="V65" s="621"/>
      <c r="W65" s="621"/>
    </row>
    <row r="66" spans="3:23" ht="16.2" customHeight="1" x14ac:dyDescent="0.3">
      <c r="C66" s="621"/>
      <c r="D66" s="619"/>
      <c r="E66" s="621"/>
      <c r="F66" s="621"/>
      <c r="G66" s="621"/>
      <c r="H66" s="621"/>
      <c r="I66" s="621"/>
      <c r="J66" s="621"/>
      <c r="K66" s="621"/>
      <c r="L66" s="621"/>
      <c r="M66" s="621"/>
      <c r="N66" s="621"/>
      <c r="O66" s="621"/>
      <c r="P66" s="621"/>
      <c r="Q66" s="621"/>
      <c r="R66" s="621"/>
      <c r="S66" s="621"/>
      <c r="T66" s="621"/>
      <c r="U66" s="621"/>
      <c r="V66" s="621"/>
      <c r="W66" s="621"/>
    </row>
    <row r="67" spans="3:23" ht="16.2" customHeight="1" x14ac:dyDescent="0.3">
      <c r="C67" s="621"/>
      <c r="D67" s="619"/>
      <c r="E67" s="621"/>
      <c r="F67" s="621"/>
      <c r="G67" s="621"/>
      <c r="H67" s="621"/>
      <c r="I67" s="621"/>
      <c r="J67" s="621"/>
      <c r="K67" s="621"/>
      <c r="L67" s="621"/>
      <c r="M67" s="621"/>
      <c r="N67" s="621"/>
      <c r="O67" s="621"/>
      <c r="P67" s="621"/>
      <c r="Q67" s="621"/>
      <c r="R67" s="621"/>
      <c r="S67" s="621"/>
      <c r="T67" s="621"/>
      <c r="U67" s="621"/>
      <c r="V67" s="621"/>
      <c r="W67" s="621"/>
    </row>
    <row r="68" spans="3:23" ht="16.2" customHeight="1" x14ac:dyDescent="0.3">
      <c r="C68" s="621"/>
      <c r="D68" s="619"/>
      <c r="E68" s="621"/>
      <c r="F68" s="621"/>
      <c r="G68" s="621"/>
      <c r="H68" s="621"/>
      <c r="I68" s="621"/>
      <c r="J68" s="621"/>
      <c r="K68" s="621"/>
      <c r="L68" s="621"/>
      <c r="M68" s="621"/>
      <c r="N68" s="621"/>
      <c r="O68" s="621"/>
      <c r="P68" s="621"/>
      <c r="Q68" s="621"/>
      <c r="R68" s="621"/>
      <c r="S68" s="621"/>
      <c r="T68" s="621"/>
      <c r="U68" s="621"/>
      <c r="V68" s="621"/>
      <c r="W68" s="621"/>
    </row>
    <row r="69" spans="3:23" ht="16.2" customHeight="1" x14ac:dyDescent="0.3">
      <c r="C69" s="621"/>
      <c r="D69" s="619"/>
      <c r="E69" s="621"/>
      <c r="F69" s="621"/>
      <c r="G69" s="621"/>
      <c r="H69" s="621"/>
      <c r="I69" s="621"/>
      <c r="J69" s="621"/>
      <c r="K69" s="621"/>
      <c r="L69" s="621"/>
      <c r="M69" s="621"/>
      <c r="N69" s="621"/>
      <c r="O69" s="621"/>
      <c r="P69" s="621"/>
      <c r="Q69" s="621"/>
      <c r="R69" s="621"/>
      <c r="S69" s="621"/>
      <c r="T69" s="621"/>
      <c r="U69" s="621"/>
      <c r="V69" s="621"/>
      <c r="W69" s="621"/>
    </row>
    <row r="70" spans="3:23" ht="16.2" customHeight="1" x14ac:dyDescent="0.3">
      <c r="C70" s="621"/>
      <c r="D70" s="619"/>
      <c r="E70" s="621"/>
      <c r="F70" s="621"/>
      <c r="G70" s="621" t="s">
        <v>43</v>
      </c>
      <c r="H70" s="621" t="s">
        <v>43</v>
      </c>
      <c r="I70" s="621"/>
      <c r="J70" s="621" t="s">
        <v>48</v>
      </c>
      <c r="K70" s="621" t="s">
        <v>48</v>
      </c>
      <c r="L70" s="621"/>
      <c r="M70" s="621" t="s">
        <v>18</v>
      </c>
      <c r="N70" s="621" t="s">
        <v>18</v>
      </c>
      <c r="O70" s="621"/>
      <c r="P70" s="621" t="s">
        <v>95</v>
      </c>
      <c r="Q70" s="621"/>
      <c r="R70" s="621"/>
      <c r="S70" s="621" t="s">
        <v>71</v>
      </c>
      <c r="T70" s="621" t="s">
        <v>71</v>
      </c>
      <c r="U70" s="621"/>
      <c r="V70" s="621" t="s">
        <v>54</v>
      </c>
      <c r="W70" s="621" t="s">
        <v>54</v>
      </c>
    </row>
    <row r="71" spans="3:23" ht="16.2" customHeight="1" x14ac:dyDescent="0.3">
      <c r="C71" s="621"/>
      <c r="D71" s="619"/>
      <c r="E71" s="621"/>
      <c r="F71" s="621"/>
      <c r="G71" s="621"/>
      <c r="H71" s="621"/>
      <c r="I71" s="621"/>
      <c r="J71" s="621"/>
      <c r="K71" s="621"/>
      <c r="L71" s="621"/>
      <c r="M71" s="621"/>
      <c r="N71" s="621"/>
      <c r="O71" s="621"/>
      <c r="P71" s="621"/>
      <c r="Q71" s="621"/>
      <c r="R71" s="621"/>
      <c r="S71" s="621"/>
      <c r="T71" s="621"/>
      <c r="U71" s="621"/>
      <c r="V71" s="621"/>
      <c r="W71" s="621"/>
    </row>
  </sheetData>
  <sheetProtection algorithmName="SHA-512" hashValue="GMKlR5cLawFhwIP9e12VU2EnrDg5cjAOREikrZjamZ5aruwJ5N1PtyDIGavENg13UuyztAoUuh38/oZdEkVkFQ==" saltValue="SOPlkUnkg/rBSbaF6vVuLg==" spinCount="100000" sheet="1" objects="1" scenarios="1"/>
  <mergeCells count="8">
    <mergeCell ref="E23:N23"/>
    <mergeCell ref="O23:X23"/>
    <mergeCell ref="O6:R6"/>
    <mergeCell ref="S6:T7"/>
    <mergeCell ref="U6:X7"/>
    <mergeCell ref="O7:R7"/>
    <mergeCell ref="E8:N8"/>
    <mergeCell ref="O8:X8"/>
  </mergeCells>
  <conditionalFormatting sqref="F61:R62">
    <cfRule type="expression" dxfId="149" priority="3">
      <formula>AVERAGE($F61:$Q61)&gt;2500</formula>
    </cfRule>
  </conditionalFormatting>
  <conditionalFormatting sqref="AA29">
    <cfRule type="expression" dxfId="148" priority="2">
      <formula>AA29&gt;2500</formula>
    </cfRule>
  </conditionalFormatting>
  <conditionalFormatting sqref="AB29:AB31">
    <cfRule type="expression" dxfId="147" priority="1">
      <formula>AB29&gt;2500</formula>
    </cfRule>
  </conditionalFormatting>
  <printOptions horizontalCentered="1" verticalCentered="1"/>
  <pageMargins left="0.70866141732283472" right="0.70866141732283472" top="0.74803149606299213" bottom="0.74803149606299213" header="0.31496062992125984" footer="0.31496062992125984"/>
  <pageSetup paperSize="9" scale="9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Drop Down 1">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89442" r:id="rId5" name="Drop Down 2">
              <controlPr defaultSize="0" autoLine="0" autoPict="0">
                <anchor moveWithCells="1">
                  <from>
                    <xdr:col>5</xdr:col>
                    <xdr:colOff>335280</xdr:colOff>
                    <xdr:row>4</xdr:row>
                    <xdr:rowOff>22860</xdr:rowOff>
                  </from>
                  <to>
                    <xdr:col>7</xdr:col>
                    <xdr:colOff>198120</xdr:colOff>
                    <xdr:row>4</xdr:row>
                    <xdr:rowOff>297180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Output03">
    <tabColor theme="4"/>
    <outlinePr showOutlineSymbols="0"/>
    <pageSetUpPr autoPageBreaks="0" fitToPage="1"/>
  </sheetPr>
  <dimension ref="A1:AI70"/>
  <sheetViews>
    <sheetView showGridLines="0" showRowColHeaders="0" showZeros="0" showOutlineSymbols="0" topLeftCell="A2" zoomScaleNormal="100" workbookViewId="0">
      <pane ySplit="6" topLeftCell="A8" activePane="bottomLeft" state="frozen"/>
      <selection activeCell="E6" sqref="E6"/>
      <selection pane="bottomLeft" activeCell="AC28" sqref="AC28"/>
    </sheetView>
  </sheetViews>
  <sheetFormatPr defaultColWidth="4.88671875" defaultRowHeight="16.2" customHeight="1" x14ac:dyDescent="0.3"/>
  <cols>
    <col min="1" max="1" width="7.88671875" style="39" bestFit="1" customWidth="1"/>
    <col min="2" max="3" width="4.88671875" style="39"/>
    <col min="4" max="4" width="4.88671875" style="40"/>
    <col min="5" max="5" width="19.5546875" style="39" customWidth="1"/>
    <col min="6" max="6" width="5.109375" style="39" customWidth="1"/>
    <col min="7" max="24" width="7.33203125" style="39" customWidth="1"/>
    <col min="25" max="25" width="7.109375" style="39" bestFit="1" customWidth="1"/>
    <col min="26" max="26" width="8.44140625" style="39" bestFit="1" customWidth="1"/>
    <col min="27" max="16384" width="4.88671875" style="39"/>
  </cols>
  <sheetData>
    <row r="1" spans="1:25" ht="16.2" hidden="1" customHeight="1" thickTop="1" thickBot="1" x14ac:dyDescent="0.35">
      <c r="A1" s="37" t="str">
        <f ca="1">MID(CELL("filename",A1),FIND("]",CELL("filename",A1))+1,255)</f>
        <v>ECONOMIC IMPACT</v>
      </c>
      <c r="E1" s="53"/>
      <c r="F1" s="54"/>
      <c r="G1" s="54"/>
      <c r="H1" s="54"/>
      <c r="I1" s="54"/>
      <c r="J1" s="54"/>
      <c r="K1" s="54"/>
      <c r="L1" s="54"/>
      <c r="M1" s="54"/>
      <c r="N1" s="54"/>
      <c r="O1" s="54"/>
      <c r="P1" s="54"/>
      <c r="Q1" s="54"/>
      <c r="R1" s="54"/>
      <c r="S1" s="54"/>
      <c r="T1" s="54"/>
      <c r="U1" s="54"/>
      <c r="V1" s="54"/>
      <c r="W1" s="54"/>
      <c r="X1" s="55"/>
    </row>
    <row r="2" spans="1:25" ht="16.2" customHeight="1" thickTop="1" x14ac:dyDescent="0.3">
      <c r="A2" s="618">
        <f ca="1">IF(($A$3/1000000)&gt;1,1000000,IF(($A$3/1000)&gt;1,1000,1))</f>
        <v>1000000</v>
      </c>
      <c r="B2" s="618"/>
      <c r="C2" s="618"/>
      <c r="D2" s="622"/>
      <c r="E2" s="44"/>
      <c r="F2" s="45"/>
      <c r="G2" s="45"/>
      <c r="H2" s="45"/>
      <c r="I2" s="45"/>
      <c r="J2" s="45"/>
      <c r="K2" s="45"/>
      <c r="L2" s="45"/>
      <c r="M2" s="45"/>
      <c r="N2" s="45"/>
      <c r="O2" s="45"/>
      <c r="P2" s="45"/>
      <c r="Q2" s="45"/>
      <c r="R2" s="45"/>
      <c r="S2" s="45"/>
      <c r="T2" s="45"/>
      <c r="U2" s="45"/>
      <c r="V2" s="45"/>
      <c r="W2" s="45"/>
      <c r="X2" s="46"/>
    </row>
    <row r="3" spans="1:25" ht="26.4" customHeight="1" x14ac:dyDescent="0.3">
      <c r="A3" s="618">
        <f t="array" aca="1" ref="A3" ca="1">IFERROR(AVERAGE(IF(TYPE.no=5,(INDEX(DATA!T:T,MATCH(REP.yearsrange&amp;"."&amp;'ECONOMIC IMPACT'!$A$1&amp;"."&amp;TOTAL,REP.lookup,0))-INDEX(DATA!T:T,MATCH(REP.yearsrange&amp;"."&amp;'ECONOMIC IMPACT'!$A$1&amp;"."&amp;DV,REP.lookup,0))),INDEX(DATA!T:T,MATCH(REP.yearsrange&amp;"."&amp;'ECONOMIC IMPACT'!$A$1&amp;"."&amp;TYPE.userselected,REP.lookup,0)))),0)</f>
        <v>2441527.5306474036</v>
      </c>
      <c r="B3" s="618">
        <f t="array" aca="1" ref="B3" ca="1">IFERROR(AVERAGE(IF(TYPE.no=5,(INDEX(DATA!U:U,MATCH(REP.yearsrange&amp;"."&amp;'ECONOMIC IMPACT'!$A$1&amp;"."&amp;TOTAL,REP.lookup,0))-INDEX(DATA!U:U,MATCH(REP.yearsrange&amp;"."&amp;'ECONOMIC IMPACT'!$A$1&amp;"."&amp;DV,REP.lookup,0))),INDEX(DATA!U:U,MATCH(REP.yearsrange&amp;"."&amp;'ECONOMIC IMPACT'!$A$1&amp;"."&amp;TYPE.userselected,REP.lookup,0)))),0)</f>
        <v>0</v>
      </c>
      <c r="C3" s="618"/>
      <c r="D3" s="622"/>
      <c r="E3" s="47"/>
      <c r="F3" s="43"/>
      <c r="G3" s="43"/>
      <c r="H3" s="43"/>
      <c r="I3" s="43"/>
      <c r="J3" s="43"/>
      <c r="K3" s="43"/>
      <c r="L3" s="43"/>
      <c r="M3" s="43"/>
      <c r="N3" s="43"/>
      <c r="O3" s="43"/>
      <c r="P3" s="43"/>
      <c r="Q3" s="43"/>
      <c r="R3" s="43"/>
      <c r="S3" s="43"/>
      <c r="T3" s="43"/>
      <c r="U3" s="43"/>
      <c r="V3" s="43"/>
      <c r="W3" s="43"/>
      <c r="X3" s="48"/>
    </row>
    <row r="4" spans="1:25" ht="26.4" customHeight="1" x14ac:dyDescent="0.3">
      <c r="A4" s="618">
        <f>IF(($A$5/1000000)&gt;1,1000000,IF(($A$5/1000)&gt;1,1000,1))</f>
        <v>1000000</v>
      </c>
      <c r="B4" s="618"/>
      <c r="C4" s="618"/>
      <c r="D4" s="622"/>
      <c r="E4" s="58"/>
      <c r="F4" s="59"/>
      <c r="G4" s="59"/>
      <c r="H4" s="59"/>
      <c r="I4" s="59"/>
      <c r="J4" s="59"/>
      <c r="K4" s="59"/>
      <c r="L4" s="59"/>
      <c r="M4" s="59"/>
      <c r="N4" s="59"/>
      <c r="O4" s="59"/>
      <c r="P4" s="59"/>
      <c r="Q4" s="59"/>
      <c r="R4" s="59"/>
      <c r="S4" s="59"/>
      <c r="T4" s="59"/>
      <c r="U4" s="59"/>
      <c r="V4" s="59"/>
      <c r="W4" s="59"/>
      <c r="X4" s="60"/>
    </row>
    <row r="5" spans="1:25" ht="26.4" customHeight="1" thickBot="1" x14ac:dyDescent="0.35">
      <c r="A5" s="618">
        <f>VLOOKUP(FOCUSYEAR&amp;".ECONOMIC IMPACT.TOTAL",REP.data,18,FALSE)</f>
        <v>4158133.7610782213</v>
      </c>
      <c r="B5" s="618"/>
      <c r="C5" s="618"/>
      <c r="D5" s="622"/>
      <c r="E5" s="50"/>
      <c r="F5" s="51"/>
      <c r="G5" s="51"/>
      <c r="H5" s="51"/>
      <c r="I5" s="51"/>
      <c r="J5" s="51"/>
      <c r="K5" s="51"/>
      <c r="L5" s="51"/>
      <c r="M5" s="51"/>
      <c r="N5" s="51"/>
      <c r="O5" s="51"/>
      <c r="P5" s="51"/>
      <c r="Q5" s="51"/>
      <c r="R5" s="51"/>
      <c r="S5" s="51"/>
      <c r="T5" s="51"/>
      <c r="U5" s="51"/>
      <c r="V5" s="51"/>
      <c r="W5" s="51"/>
      <c r="X5" s="52"/>
    </row>
    <row r="6" spans="1:25" ht="16.2" customHeight="1" thickTop="1" x14ac:dyDescent="0.3">
      <c r="A6" s="618"/>
      <c r="B6" s="618"/>
      <c r="C6" s="618"/>
      <c r="D6" s="619"/>
      <c r="E6" s="369" t="str">
        <f>REP.title1</f>
        <v>STEAM FINAL TREND REPORT FOR 2011-2022</v>
      </c>
      <c r="F6" s="390"/>
      <c r="G6" s="390"/>
      <c r="H6" s="390"/>
      <c r="I6" s="390"/>
      <c r="J6" s="390"/>
      <c r="K6" s="390"/>
      <c r="L6" s="390"/>
      <c r="M6" s="390"/>
      <c r="N6" s="390"/>
      <c r="O6" s="391"/>
      <c r="P6" s="999" t="str">
        <f>MIN(REP.yearsrange)&amp;" to "&amp;MAX(REP.yearsrange)</f>
        <v>2011 to 2022</v>
      </c>
      <c r="Q6" s="1000"/>
      <c r="R6" s="1001"/>
      <c r="S6" s="948" t="str">
        <f>UPPER(TYPE.userselected)</f>
        <v>TOTAL</v>
      </c>
      <c r="T6" s="949"/>
      <c r="U6" s="806" t="str">
        <f>IF(REP.indexed="YES","ECONOMIC IMPACT"&amp;CHAR(10)&amp;"Indexed","ECONOMIC IMPACT"&amp;CHAR(10)&amp;"Historic Prices")</f>
        <v>ECONOMIC IMPACT
Historic Prices</v>
      </c>
      <c r="V6" s="807"/>
      <c r="W6" s="807"/>
      <c r="X6" s="808"/>
    </row>
    <row r="7" spans="1:25" ht="16.2" customHeight="1" thickBot="1" x14ac:dyDescent="0.35">
      <c r="A7" s="618"/>
      <c r="B7" s="618"/>
      <c r="C7" s="618"/>
      <c r="D7" s="619"/>
      <c r="E7" s="370" t="str">
        <f>REP.title2</f>
        <v>NORTH WALES</v>
      </c>
      <c r="F7" s="371"/>
      <c r="G7" s="371"/>
      <c r="H7" s="371"/>
      <c r="I7" s="372"/>
      <c r="J7" s="372"/>
      <c r="K7" s="372"/>
      <c r="L7" s="372"/>
      <c r="M7" s="372"/>
      <c r="N7" s="372"/>
      <c r="O7" s="392"/>
      <c r="P7" s="996" t="str">
        <f>IF(REP.indexed="YES",MAX(REP.yearsrange)&amp;" Prices","Historic Prices")</f>
        <v>Historic Prices</v>
      </c>
      <c r="Q7" s="997"/>
      <c r="R7" s="998"/>
      <c r="S7" s="950"/>
      <c r="T7" s="951"/>
      <c r="U7" s="809"/>
      <c r="V7" s="810"/>
      <c r="W7" s="810"/>
      <c r="X7" s="811"/>
    </row>
    <row r="8" spans="1:25" ht="16.2" customHeight="1" thickTop="1" thickBot="1" x14ac:dyDescent="0.35">
      <c r="D8" s="112"/>
      <c r="E8" s="880" t="str">
        <f ca="1">$A$1&amp;" BY:"</f>
        <v>ECONOMIC IMPACT BY:</v>
      </c>
      <c r="F8" s="881"/>
      <c r="G8" s="880" t="s">
        <v>132</v>
      </c>
      <c r="H8" s="879"/>
      <c r="I8" s="879"/>
      <c r="J8" s="879"/>
      <c r="K8" s="879"/>
      <c r="L8" s="879"/>
      <c r="M8" s="879"/>
      <c r="N8" s="879"/>
      <c r="O8" s="879"/>
      <c r="P8" s="879"/>
      <c r="Q8" s="879"/>
      <c r="R8" s="879"/>
      <c r="S8" s="1005" t="s">
        <v>123</v>
      </c>
      <c r="T8" s="1006"/>
      <c r="U8" s="1009" t="s">
        <v>124</v>
      </c>
      <c r="V8" s="1010"/>
      <c r="W8" s="1010"/>
      <c r="X8" s="1011"/>
    </row>
    <row r="9" spans="1:25" s="35" customFormat="1" ht="16.2" customHeight="1" thickTop="1" thickBot="1" x14ac:dyDescent="0.35">
      <c r="D9" s="125"/>
      <c r="E9" s="864" t="s">
        <v>90</v>
      </c>
      <c r="F9" s="865"/>
      <c r="G9" s="982" t="str">
        <f>UPPER(TYPE.userselected)</f>
        <v>TOTAL</v>
      </c>
      <c r="H9" s="982"/>
      <c r="I9" s="982"/>
      <c r="J9" s="982"/>
      <c r="K9" s="982"/>
      <c r="L9" s="982"/>
      <c r="M9" s="982"/>
      <c r="N9" s="982"/>
      <c r="O9" s="982"/>
      <c r="P9" s="982"/>
      <c r="Q9" s="982"/>
      <c r="R9" s="983"/>
      <c r="S9" s="1007"/>
      <c r="T9" s="1008"/>
      <c r="U9" s="1012"/>
      <c r="V9" s="1013"/>
      <c r="W9" s="1013"/>
      <c r="X9" s="1014"/>
    </row>
    <row r="10" spans="1:25" s="35" customFormat="1" ht="16.2" customHeight="1" thickTop="1" thickBot="1" x14ac:dyDescent="0.35">
      <c r="D10" s="125"/>
      <c r="E10" s="907" t="str">
        <f>REP.highlightup</f>
        <v>An increase of 3% or more</v>
      </c>
      <c r="F10" s="908"/>
      <c r="G10" s="880" t="str">
        <f ca="1">$A$1&amp;" "&amp;$F$16&amp;" "&amp;IF(REP.indexed="YES"," - INDEXED TO "&amp;MAX(REP.yearsrange)," - IN HISTORIC PRICES")&amp;" / PERCENTAGE CHANGES"</f>
        <v>ECONOMIC IMPACT £Bn  - IN HISTORIC PRICES / PERCENTAGE CHANGES</v>
      </c>
      <c r="H10" s="879"/>
      <c r="I10" s="879"/>
      <c r="J10" s="879"/>
      <c r="K10" s="879"/>
      <c r="L10" s="879"/>
      <c r="M10" s="879"/>
      <c r="N10" s="879"/>
      <c r="O10" s="879"/>
      <c r="P10" s="879"/>
      <c r="Q10" s="879"/>
      <c r="R10" s="881"/>
      <c r="S10" s="1002" t="s">
        <v>38</v>
      </c>
      <c r="T10" s="1002" t="s">
        <v>118</v>
      </c>
      <c r="U10" s="1012"/>
      <c r="V10" s="1013"/>
      <c r="W10" s="1013"/>
      <c r="X10" s="1014"/>
    </row>
    <row r="11" spans="1:25" s="35" customFormat="1" ht="16.2" customHeight="1" thickTop="1" thickBot="1" x14ac:dyDescent="0.35">
      <c r="D11" s="125"/>
      <c r="E11" s="918" t="str">
        <f>REP.highlightsame</f>
        <v>Less than 3% change</v>
      </c>
      <c r="F11" s="919"/>
      <c r="G11" s="984" t="s">
        <v>91</v>
      </c>
      <c r="H11" s="985"/>
      <c r="I11" s="986"/>
      <c r="J11" s="987" t="s">
        <v>92</v>
      </c>
      <c r="K11" s="988"/>
      <c r="L11" s="989"/>
      <c r="M11" s="990" t="s">
        <v>93</v>
      </c>
      <c r="N11" s="991"/>
      <c r="O11" s="992"/>
      <c r="P11" s="993" t="s">
        <v>94</v>
      </c>
      <c r="Q11" s="994"/>
      <c r="R11" s="995"/>
      <c r="S11" s="1003"/>
      <c r="T11" s="1003"/>
      <c r="U11" s="1015"/>
      <c r="V11" s="1016"/>
      <c r="W11" s="1016"/>
      <c r="X11" s="1017"/>
    </row>
    <row r="12" spans="1:25" ht="16.2" customHeight="1" thickTop="1" thickBot="1" x14ac:dyDescent="0.35">
      <c r="D12" s="112"/>
      <c r="E12" s="899" t="str">
        <f>REP.highlightdown</f>
        <v>A Fall of 3% or more</v>
      </c>
      <c r="F12" s="900"/>
      <c r="G12" s="184" t="s">
        <v>26</v>
      </c>
      <c r="H12" s="184" t="s">
        <v>27</v>
      </c>
      <c r="I12" s="184" t="s">
        <v>28</v>
      </c>
      <c r="J12" s="185" t="s">
        <v>29</v>
      </c>
      <c r="K12" s="185" t="s">
        <v>30</v>
      </c>
      <c r="L12" s="185" t="s">
        <v>31</v>
      </c>
      <c r="M12" s="186" t="s">
        <v>32</v>
      </c>
      <c r="N12" s="186" t="s">
        <v>33</v>
      </c>
      <c r="O12" s="186" t="s">
        <v>34</v>
      </c>
      <c r="P12" s="187" t="s">
        <v>35</v>
      </c>
      <c r="Q12" s="187" t="s">
        <v>36</v>
      </c>
      <c r="R12" s="187" t="s">
        <v>37</v>
      </c>
      <c r="S12" s="1004"/>
      <c r="T12" s="1004"/>
      <c r="U12" s="188" t="s">
        <v>91</v>
      </c>
      <c r="V12" s="189" t="s">
        <v>92</v>
      </c>
      <c r="W12" s="190" t="s">
        <v>93</v>
      </c>
      <c r="X12" s="191" t="s">
        <v>94</v>
      </c>
    </row>
    <row r="13" spans="1:25" ht="16.2" customHeight="1" thickTop="1" thickBot="1" x14ac:dyDescent="0.35">
      <c r="D13" s="112"/>
      <c r="E13" s="980" t="str">
        <f>"% Change "&amp;MIN(REP.yearsrange)&amp;" to "&amp;MAX(REP.yearsrange)</f>
        <v>% Change 2011 to 2022</v>
      </c>
      <c r="F13" s="980"/>
      <c r="G13" s="135">
        <f ca="1">IFERROR(INDEX(G$16:G$27,MATCH(MAX(REP.yearsrange),$E$16:$E$27,0))/INDEX(G$16:G$27,MATCH(MIN(REP.yearsrange),$E$16:$E$27,0))-1,"")</f>
        <v>1.1824270372094539</v>
      </c>
      <c r="H13" s="135">
        <f ca="1">IFERROR(INDEX(H$16:H$27,MATCH(MAX(REP.yearsrange),$E$16:$E$27,0))/INDEX(H$16:H$27,MATCH(MIN(REP.yearsrange),$E$16:$E$27,0))-1,"")</f>
        <v>1.1376098281730322</v>
      </c>
      <c r="I13" s="135">
        <f ca="1">IFERROR(INDEX(I$16:I$27,MATCH(MAX(REP.yearsrange),$E$16:$E$27,0))/INDEX(I$16:I$27,MATCH(MIN(REP.yearsrange),$E$16:$E$27,0))-1,"")</f>
        <v>2.0116205695283997</v>
      </c>
      <c r="J13" s="135">
        <f ca="1">IFERROR(INDEX(J$16:J$27,MATCH(MAX(REP.yearsrange),$E$16:$E$27,0))/INDEX(J$16:J$27,MATCH(MIN(REP.yearsrange),$E$16:$E$27,0))-1,"")</f>
        <v>0.43928012013697515</v>
      </c>
      <c r="K13" s="135">
        <f ca="1">IFERROR(INDEX(K$16:K$27,MATCH(MAX(REP.yearsrange),$E$16:$E$27,0))/INDEX(K$16:K$27,MATCH(MIN(REP.yearsrange),$E$16:$E$27,0))-1,"")</f>
        <v>0.54435499655809805</v>
      </c>
      <c r="L13" s="135">
        <f ca="1">IFERROR(INDEX(L$16:L$27,MATCH(MAX(REP.yearsrange),$E$16:$E$27,0))/INDEX(L$16:L$27,MATCH(MIN(REP.yearsrange),$E$16:$E$27,0))-1,"")</f>
        <v>0.56229503469555153</v>
      </c>
      <c r="M13" s="135">
        <f ca="1">IFERROR(INDEX(M$16:M$27,MATCH(MAX(REP.yearsrange),$E$16:$E$27,0))/INDEX(M$16:M$27,MATCH(MIN(REP.yearsrange),$E$16:$E$27,0))-1,"")</f>
        <v>0.57114798065308525</v>
      </c>
      <c r="N13" s="135">
        <f ca="1">IFERROR(INDEX(N$16:N$27,MATCH(MAX(REP.yearsrange),$E$16:$E$27,0))/INDEX(N$16:N$27,MATCH(MIN(REP.yearsrange),$E$16:$E$27,0))-1,"")</f>
        <v>0.54616525379404557</v>
      </c>
      <c r="O13" s="135">
        <f ca="1">IFERROR(INDEX(O$16:O$27,MATCH(MAX(REP.yearsrange),$E$16:$E$27,0))/INDEX(O$16:O$27,MATCH(MIN(REP.yearsrange),$E$16:$E$27,0))-1,"")</f>
        <v>0.5481529694530507</v>
      </c>
      <c r="P13" s="135">
        <f ca="1">IFERROR(INDEX(P$16:P$27,MATCH(MAX(REP.yearsrange),$E$16:$E$27,0))/INDEX(P$16:P$27,MATCH(MIN(REP.yearsrange),$E$16:$E$27,0))-1,"")</f>
        <v>0.79768486227103819</v>
      </c>
      <c r="Q13" s="135">
        <f ca="1">IFERROR(INDEX(Q$16:Q$27,MATCH(MAX(REP.yearsrange),$E$16:$E$27,0))/INDEX(Q$16:Q$27,MATCH(MIN(REP.yearsrange),$E$16:$E$27,0))-1,"")</f>
        <v>1.2352369670223173</v>
      </c>
      <c r="R13" s="135">
        <f ca="1">IFERROR(INDEX(R$16:R$27,MATCH(MAX(REP.yearsrange),$E$16:$E$27,0))/INDEX(R$16:R$27,MATCH(MIN(REP.yearsrange),$E$16:$E$27,0))-1,"")</f>
        <v>1.2752086518315409</v>
      </c>
      <c r="S13" s="135">
        <f ca="1">IFERROR(INDEX(S$16:S$27,MATCH(MAX(REP.yearsrange),$E$16:$E$27,0))/INDEX(S$16:S$27,MATCH(MIN(REP.yearsrange),$E$16:$E$27,0))-1,"")</f>
        <v>0.7030869850464625</v>
      </c>
      <c r="T13" s="981" t="str">
        <f>"Annual"&amp;CHAR(10)&amp;"Change"</f>
        <v>Annual
Change</v>
      </c>
      <c r="U13" s="135">
        <f ca="1">IFERROR(INDEX(U$16:U$27,MATCH(MAX(REP.yearsrange),$E$16:$E$27,0))/INDEX(U$16:U$27,MATCH(MIN(REP.yearsrange),$E$16:$E$27,0))-1,"")</f>
        <v>1.5453652892555318</v>
      </c>
      <c r="V13" s="135">
        <f ca="1">IFERROR(INDEX(V$16:V$27,MATCH(MAX(REP.yearsrange),$E$16:$E$27,0))/INDEX(V$16:V$27,MATCH(MIN(REP.yearsrange),$E$16:$E$27,0))-1,"")</f>
        <v>0.51624007972405983</v>
      </c>
      <c r="W13" s="135">
        <f ca="1">IFERROR(INDEX(W$16:W$27,MATCH(MAX(REP.yearsrange),$E$16:$E$27,0))/INDEX(W$16:W$27,MATCH(MIN(REP.yearsrange),$E$16:$E$27,0))-1,"")</f>
        <v>0.55544100761332249</v>
      </c>
      <c r="X13" s="135">
        <f ca="1">IFERROR(INDEX(X$16:X$27,MATCH(MAX(REP.yearsrange),$E$16:$E$27,0))/INDEX(X$16:X$27,MATCH(MIN(REP.yearsrange),$E$16:$E$27,0))-1,"")</f>
        <v>1.0005066207477777</v>
      </c>
    </row>
    <row r="14" spans="1:25" ht="16.2" customHeight="1" thickTop="1" thickBot="1" x14ac:dyDescent="0.35">
      <c r="D14" s="112"/>
      <c r="E14" s="980" t="str">
        <f>"% Change "&amp;INDEX(REP.yearsrange,COUNT(REP.yearsrange)-1)&amp;" to "&amp;MAX(REP.yearsrange)</f>
        <v>% Change 2021 to 2022</v>
      </c>
      <c r="F14" s="980"/>
      <c r="G14" s="135">
        <f ca="1">IFERROR(INDEX(G$16:G$27,MATCH(MAX(REP.yearsrange),$E$16:$E$27,0))/INDEX(G$16:G$27,MATCH(INDEX(REP.yearsrange,COUNT(REP.yearsrange)-1),$E$16:$E$27,0))-1,"")</f>
        <v>530.25868683386659</v>
      </c>
      <c r="H14" s="135">
        <f ca="1">IFERROR(INDEX(H$16:H$27,MATCH(MAX(REP.yearsrange),$E$16:$E$27,0))/INDEX(H$16:H$27,MATCH(INDEX(REP.yearsrange,COUNT(REP.yearsrange)-1),$E$16:$E$27,0))-1,"")</f>
        <v>662.58716321933821</v>
      </c>
      <c r="I14" s="135">
        <f ca="1">IFERROR(INDEX(I$16:I$27,MATCH(MAX(REP.yearsrange),$E$16:$E$27,0))/INDEX(I$16:I$27,MATCH(INDEX(REP.yearsrange,COUNT(REP.yearsrange)-1),$E$16:$E$27,0))-1,"")</f>
        <v>6.5348686730242758</v>
      </c>
      <c r="J14" s="135">
        <f ca="1">IFERROR(INDEX(J$16:J$27,MATCH(MAX(REP.yearsrange),$E$16:$E$27,0))/INDEX(J$16:J$27,MATCH(INDEX(REP.yearsrange,COUNT(REP.yearsrange)-1),$E$16:$E$27,0))-1,"")</f>
        <v>1.3550396175363009</v>
      </c>
      <c r="K14" s="135">
        <f ca="1">IFERROR(INDEX(K$16:K$27,MATCH(MAX(REP.yearsrange),$E$16:$E$27,0))/INDEX(K$16:K$27,MATCH(INDEX(REP.yearsrange,COUNT(REP.yearsrange)-1),$E$16:$E$27,0))-1,"")</f>
        <v>1.1711134778860508</v>
      </c>
      <c r="L14" s="135">
        <f ca="1">IFERROR(INDEX(L$16:L$27,MATCH(MAX(REP.yearsrange),$E$16:$E$27,0))/INDEX(L$16:L$27,MATCH(INDEX(REP.yearsrange,COUNT(REP.yearsrange)-1),$E$16:$E$27,0))-1,"")</f>
        <v>0.27873461562914481</v>
      </c>
      <c r="M14" s="135">
        <f ca="1">IFERROR(INDEX(M$16:M$27,MATCH(MAX(REP.yearsrange),$E$16:$E$27,0))/INDEX(M$16:M$27,MATCH(INDEX(REP.yearsrange,COUNT(REP.yearsrange)-1),$E$16:$E$27,0))-1,"")</f>
        <v>0.15549872298614331</v>
      </c>
      <c r="N14" s="135">
        <f ca="1">IFERROR(INDEX(N$16:N$27,MATCH(MAX(REP.yearsrange),$E$16:$E$27,0))/INDEX(N$16:N$27,MATCH(INDEX(REP.yearsrange,COUNT(REP.yearsrange)-1),$E$16:$E$27,0))-1,"")</f>
        <v>2.0591301928970518E-2</v>
      </c>
      <c r="O14" s="135">
        <f ca="1">IFERROR(INDEX(O$16:O$27,MATCH(MAX(REP.yearsrange),$E$16:$E$27,0))/INDEX(O$16:O$27,MATCH(INDEX(REP.yearsrange,COUNT(REP.yearsrange)-1),$E$16:$E$27,0))-1,"")</f>
        <v>-7.4954960569820539E-2</v>
      </c>
      <c r="P14" s="135">
        <f ca="1">IFERROR(INDEX(P$16:P$27,MATCH(MAX(REP.yearsrange),$E$16:$E$27,0))/INDEX(P$16:P$27,MATCH(INDEX(REP.yearsrange,COUNT(REP.yearsrange)-1),$E$16:$E$27,0))-1,"")</f>
        <v>-9.5996555993562827E-2</v>
      </c>
      <c r="Q14" s="135">
        <f ca="1">IFERROR(INDEX(Q$16:Q$27,MATCH(MAX(REP.yearsrange),$E$16:$E$27,0))/INDEX(Q$16:Q$27,MATCH(INDEX(REP.yearsrange,COUNT(REP.yearsrange)-1),$E$16:$E$27,0))-1,"")</f>
        <v>0.23684929605956317</v>
      </c>
      <c r="R14" s="135">
        <f ca="1">IFERROR(INDEX(R$16:R$27,MATCH(MAX(REP.yearsrange),$E$16:$E$27,0))/INDEX(R$16:R$27,MATCH(INDEX(REP.yearsrange,COUNT(REP.yearsrange)-1),$E$16:$E$27,0))-1,"")</f>
        <v>0.13753657621936832</v>
      </c>
      <c r="S14" s="135">
        <f ca="1">IFERROR(INDEX(S$16:S$27,MATCH(MAX(REP.yearsrange),$E$16:$E$27,0))/INDEX(S$16:S$27,MATCH(INDEX(REP.yearsrange,COUNT(REP.yearsrange)-1),$E$16:$E$27,0))-1,"")</f>
        <v>0.39410022680000356</v>
      </c>
      <c r="T14" s="981"/>
      <c r="U14" s="135">
        <f ca="1">IFERROR(INDEX(U$16:U$27,MATCH(MAX(REP.yearsrange),$E$16:$E$27,0))/INDEX(U$16:U$27,MATCH(INDEX(REP.yearsrange,COUNT(REP.yearsrange)-1),$E$16:$E$27,0))-1,"")</f>
        <v>12.883449555787113</v>
      </c>
      <c r="V14" s="135">
        <f ca="1">IFERROR(INDEX(V$16:V$27,MATCH(MAX(REP.yearsrange),$E$16:$E$27,0))/INDEX(V$16:V$27,MATCH(INDEX(REP.yearsrange,COUNT(REP.yearsrange)-1),$E$16:$E$27,0))-1,"")</f>
        <v>0.76806081478724142</v>
      </c>
      <c r="W14" s="135">
        <f ca="1">IFERROR(INDEX(W$16:W$27,MATCH(MAX(REP.yearsrange),$E$16:$E$27,0))/INDEX(W$16:W$27,MATCH(INDEX(REP.yearsrange,COUNT(REP.yearsrange)-1),$E$16:$E$27,0))-1,"")</f>
        <v>3.53987054444449E-2</v>
      </c>
      <c r="X14" s="135">
        <f ca="1">IFERROR(INDEX(X$16:X$27,MATCH(MAX(REP.yearsrange),$E$16:$E$27,0))/INDEX(X$16:X$27,MATCH(INDEX(REP.yearsrange,COUNT(REP.yearsrange)-1),$E$16:$E$27,0))-1,"")</f>
        <v>2.8191135350408958E-2</v>
      </c>
    </row>
    <row r="15" spans="1:25" ht="16.2" customHeight="1" thickTop="1" thickBot="1" x14ac:dyDescent="0.35">
      <c r="D15" s="112"/>
      <c r="E15" s="980" t="s">
        <v>116</v>
      </c>
      <c r="F15" s="980"/>
      <c r="G15" s="135">
        <f ca="1">IFERROR(G13/(MAX(REP.yearsrange)-MIN(REP.yearsrange)),"")</f>
        <v>0.10749336701904126</v>
      </c>
      <c r="H15" s="135">
        <f ca="1">IFERROR(H13/(MAX(REP.yearsrange)-MIN(REP.yearsrange)),"")</f>
        <v>0.10341907528845748</v>
      </c>
      <c r="I15" s="135">
        <f ca="1">IFERROR(I13/(MAX(REP.yearsrange)-MIN(REP.yearsrange)),"")</f>
        <v>0.18287459722985452</v>
      </c>
      <c r="J15" s="135">
        <f ca="1">IFERROR(J13/(MAX(REP.yearsrange)-MIN(REP.yearsrange)),"")</f>
        <v>3.9934556376088649E-2</v>
      </c>
      <c r="K15" s="135">
        <f ca="1">IFERROR(K13/(MAX(REP.yearsrange)-MIN(REP.yearsrange)),"")</f>
        <v>4.9486817868918002E-2</v>
      </c>
      <c r="L15" s="135">
        <f ca="1">IFERROR(L13/(MAX(REP.yearsrange)-MIN(REP.yearsrange)),"")</f>
        <v>5.1117730426868319E-2</v>
      </c>
      <c r="M15" s="135">
        <f ca="1">IFERROR(M13/(MAX(REP.yearsrange)-MIN(REP.yearsrange)),"")</f>
        <v>5.192254369573502E-2</v>
      </c>
      <c r="N15" s="135">
        <f ca="1">IFERROR(N13/(MAX(REP.yearsrange)-MIN(REP.yearsrange)),"")</f>
        <v>4.96513867085496E-2</v>
      </c>
      <c r="O15" s="135">
        <f ca="1">IFERROR(O13/(MAX(REP.yearsrange)-MIN(REP.yearsrange)),"")</f>
        <v>4.9832088132095519E-2</v>
      </c>
      <c r="P15" s="135">
        <f ca="1">IFERROR(P13/(MAX(REP.yearsrange)-MIN(REP.yearsrange)),"")</f>
        <v>7.2516805661003478E-2</v>
      </c>
      <c r="Q15" s="135">
        <f ca="1">IFERROR(Q13/(MAX(REP.yearsrange)-MIN(REP.yearsrange)),"")</f>
        <v>0.11229426972930158</v>
      </c>
      <c r="R15" s="135">
        <f ca="1">IFERROR(R13/(MAX(REP.yearsrange)-MIN(REP.yearsrange)),"")</f>
        <v>0.1159280592574128</v>
      </c>
      <c r="S15" s="135">
        <f ca="1">IFERROR(S13/(MAX(REP.yearsrange)-MIN(REP.yearsrange)),"")</f>
        <v>6.3916998640587502E-2</v>
      </c>
      <c r="T15" s="981"/>
      <c r="U15" s="135">
        <f ca="1">IFERROR(U13/(MAX(REP.yearsrange)-MIN(REP.yearsrange)),"")</f>
        <v>0.1404877535686847</v>
      </c>
      <c r="V15" s="135">
        <f ca="1">IFERROR(V13/(MAX(REP.yearsrange)-MIN(REP.yearsrange)),"")</f>
        <v>4.6930916338550892E-2</v>
      </c>
      <c r="W15" s="135">
        <f ca="1">IFERROR(W13/(MAX(REP.yearsrange)-MIN(REP.yearsrange)),"")</f>
        <v>5.0494637055756589E-2</v>
      </c>
      <c r="X15" s="135">
        <f ca="1">IFERROR(X13/(MAX(REP.yearsrange)-MIN(REP.yearsrange)),"")</f>
        <v>9.0955147340707074E-2</v>
      </c>
    </row>
    <row r="16" spans="1:25" ht="16.2" customHeight="1" thickTop="1" thickBot="1" x14ac:dyDescent="0.35">
      <c r="D16" s="112"/>
      <c r="E16" s="193">
        <f t="array" ref="E16:E27">INDEX(REP.yearsrange,REP.yearnos)</f>
        <v>2011</v>
      </c>
      <c r="F16" s="194" t="str">
        <f ca="1">IF($A$2=1,"£000s",IF(A2=1000,"£M","£Bn"))</f>
        <v>£Bn</v>
      </c>
      <c r="G16" s="589">
        <f t="array" aca="1" ref="G16:G27" ca="1">EI.MONTHLYDATA</f>
        <v>6.0339024252232004E-2</v>
      </c>
      <c r="H16" s="589">
        <f t="array" aca="1" ref="H16:H27" ca="1">EI.MONTHLYDATA</f>
        <v>7.180429692743294E-2</v>
      </c>
      <c r="I16" s="589">
        <f t="array" aca="1" ref="I16:I27" ca="1">EI.MONTHLYDATA</f>
        <v>0.10976376324075091</v>
      </c>
      <c r="J16" s="590">
        <f t="array" aca="1" ref="J16:J27" ca="1">EI.MONTHLYDATA</f>
        <v>0.26312849943998201</v>
      </c>
      <c r="K16" s="590">
        <f t="array" aca="1" ref="K16:K27" ca="1">EI.MONTHLYDATA</f>
        <v>0.25853418231755093</v>
      </c>
      <c r="L16" s="590">
        <f t="array" aca="1" ref="L16:L27" ca="1">EI.MONTHLYDATA</f>
        <v>0.2818739407417255</v>
      </c>
      <c r="M16" s="591">
        <f t="array" aca="1" ref="M16:M27" ca="1">EI.MONTHLYDATA</f>
        <v>0.36908995560167746</v>
      </c>
      <c r="N16" s="591">
        <f t="array" aca="1" ref="N16:N27" ca="1">EI.MONTHLYDATA</f>
        <v>0.40746276434296874</v>
      </c>
      <c r="O16" s="591">
        <f t="array" aca="1" ref="O16:O27" ca="1">EI.MONTHLYDATA</f>
        <v>0.27685937490202794</v>
      </c>
      <c r="P16" s="592">
        <f t="array" aca="1" ref="P16:P27" ca="1">EI.MONTHLYDATA</f>
        <v>0.18997982268760993</v>
      </c>
      <c r="Q16" s="592">
        <f t="array" aca="1" ref="Q16:Q27" ca="1">EI.MONTHLYDATA</f>
        <v>8.5378814155042934E-2</v>
      </c>
      <c r="R16" s="592">
        <f t="array" aca="1" ref="R16:R27" ca="1">EI.MONTHLYDATA</f>
        <v>6.7313092038402161E-2</v>
      </c>
      <c r="S16" s="593">
        <f t="array" aca="1" ref="S16:S27" ca="1">EI.MONTHLYDATA</f>
        <v>2.4415275306474036</v>
      </c>
      <c r="T16" s="981"/>
      <c r="U16" s="589">
        <f ca="1">IF(SUM(G16:I16)=0,"",SUM(G16:I16))</f>
        <v>0.24190708442041584</v>
      </c>
      <c r="V16" s="590">
        <f ca="1">IF(SUM(J16:L16)=0,"",SUM(J16:L16))</f>
        <v>0.80353662249925839</v>
      </c>
      <c r="W16" s="591">
        <f ca="1">IF(SUM(M16:O16)=0,"",SUM(M16:O16))</f>
        <v>1.0534120948466743</v>
      </c>
      <c r="X16" s="592">
        <f ca="1">IF(SUM(P16:R16)=0,"",SUM(P16:R16))</f>
        <v>0.34267172888105502</v>
      </c>
      <c r="Y16" s="93"/>
    </row>
    <row r="17" spans="4:35" ht="16.2" customHeight="1" thickTop="1" thickBot="1" x14ac:dyDescent="0.35">
      <c r="D17" s="112"/>
      <c r="E17" s="193">
        <v>2012</v>
      </c>
      <c r="F17" s="194" t="str">
        <f t="shared" ref="F17:F25" ca="1" si="0">$F$16</f>
        <v>£Bn</v>
      </c>
      <c r="G17" s="589">
        <f ca="1"/>
        <v>5.9304206274630816E-2</v>
      </c>
      <c r="H17" s="589">
        <f ca="1"/>
        <v>7.426447016115599E-2</v>
      </c>
      <c r="I17" s="589">
        <f ca="1"/>
        <v>0.12348049135178525</v>
      </c>
      <c r="J17" s="590">
        <f ca="1"/>
        <v>0.23417152069767555</v>
      </c>
      <c r="K17" s="590">
        <f ca="1"/>
        <v>0.2347356147474963</v>
      </c>
      <c r="L17" s="590">
        <f ca="1"/>
        <v>0.28448594832193147</v>
      </c>
      <c r="M17" s="591">
        <f ca="1"/>
        <v>0.36295636022470901</v>
      </c>
      <c r="N17" s="591">
        <f ca="1"/>
        <v>0.41733088231146409</v>
      </c>
      <c r="O17" s="591">
        <f ca="1"/>
        <v>0.28674964969640465</v>
      </c>
      <c r="P17" s="592">
        <f ca="1"/>
        <v>0.20917816387916957</v>
      </c>
      <c r="Q17" s="592">
        <f ca="1"/>
        <v>8.8397921405249047E-2</v>
      </c>
      <c r="R17" s="592">
        <f ca="1"/>
        <v>7.3157439978886338E-2</v>
      </c>
      <c r="S17" s="593">
        <f ca="1"/>
        <v>2.4482126690505579</v>
      </c>
      <c r="T17" s="195">
        <f ca="1">IFERROR(IF(S17&lt;&gt;0,S17/S16-1,""),"")</f>
        <v>2.7380966707271082E-3</v>
      </c>
      <c r="U17" s="589">
        <f t="shared" ref="U17:U26" ca="1" si="1">IF(SUM(G17:I17)=0,"",SUM(G17:I17))</f>
        <v>0.25704916778757203</v>
      </c>
      <c r="V17" s="590">
        <f t="shared" ref="V17:V26" ca="1" si="2">IF(SUM(J17:L17)=0,"",SUM(J17:L17))</f>
        <v>0.75339308376710323</v>
      </c>
      <c r="W17" s="591">
        <f t="shared" ref="W17:W26" ca="1" si="3">IF(SUM(M17:O17)=0,"",SUM(M17:O17))</f>
        <v>1.0670368922325777</v>
      </c>
      <c r="X17" s="592">
        <f t="shared" ref="X17:X26" ca="1" si="4">IF(SUM(P17:R17)=0,"",SUM(P17:R17))</f>
        <v>0.37073352526330494</v>
      </c>
    </row>
    <row r="18" spans="4:35" ht="16.2" customHeight="1" thickTop="1" thickBot="1" x14ac:dyDescent="0.35">
      <c r="D18" s="112"/>
      <c r="E18" s="193">
        <v>2013</v>
      </c>
      <c r="F18" s="194" t="str">
        <f t="shared" ca="1" si="0"/>
        <v>£Bn</v>
      </c>
      <c r="G18" s="589">
        <f ca="1"/>
        <v>6.7384012821607997E-2</v>
      </c>
      <c r="H18" s="589">
        <f ca="1"/>
        <v>8.9132029703525226E-2</v>
      </c>
      <c r="I18" s="589">
        <f ca="1"/>
        <v>0.16885268559369968</v>
      </c>
      <c r="J18" s="590">
        <f ca="1"/>
        <v>0.22760756315353606</v>
      </c>
      <c r="K18" s="590">
        <f ca="1"/>
        <v>0.27120843313911325</v>
      </c>
      <c r="L18" s="590">
        <f ca="1"/>
        <v>0.28753763312122366</v>
      </c>
      <c r="M18" s="591">
        <f ca="1"/>
        <v>0.38917776140884897</v>
      </c>
      <c r="N18" s="591">
        <f ca="1"/>
        <v>0.45593463654336924</v>
      </c>
      <c r="O18" s="591">
        <f ca="1"/>
        <v>0.28847357600875273</v>
      </c>
      <c r="P18" s="592">
        <f ca="1"/>
        <v>0.20243387491293188</v>
      </c>
      <c r="Q18" s="592">
        <f ca="1"/>
        <v>0.10500671980083057</v>
      </c>
      <c r="R18" s="592">
        <f ca="1"/>
        <v>8.5759974526993812E-2</v>
      </c>
      <c r="S18" s="593">
        <f ca="1"/>
        <v>2.6385089007344336</v>
      </c>
      <c r="T18" s="195">
        <f t="shared" ref="T18:T27" ca="1" si="5">IFERROR(IF(S18&lt;&gt;0,S18/S17-1,""),"")</f>
        <v>7.7728636114637206E-2</v>
      </c>
      <c r="U18" s="589">
        <f t="shared" ca="1" si="1"/>
        <v>0.32536872811883288</v>
      </c>
      <c r="V18" s="590">
        <f t="shared" ca="1" si="2"/>
        <v>0.78635362941387288</v>
      </c>
      <c r="W18" s="591">
        <f t="shared" ca="1" si="3"/>
        <v>1.1335859739609708</v>
      </c>
      <c r="X18" s="592">
        <f t="shared" ca="1" si="4"/>
        <v>0.39320056924075625</v>
      </c>
    </row>
    <row r="19" spans="4:35" ht="16.2" customHeight="1" thickTop="1" thickBot="1" x14ac:dyDescent="0.35">
      <c r="D19" s="112"/>
      <c r="E19" s="193">
        <v>2014</v>
      </c>
      <c r="F19" s="194" t="str">
        <f t="shared" ca="1" si="0"/>
        <v>£Bn</v>
      </c>
      <c r="G19" s="589">
        <f ca="1"/>
        <v>7.0854814634631599E-2</v>
      </c>
      <c r="H19" s="589">
        <f ca="1"/>
        <v>9.5399231482892421E-2</v>
      </c>
      <c r="I19" s="589">
        <f ca="1"/>
        <v>0.18843559424989184</v>
      </c>
      <c r="J19" s="590">
        <f ca="1"/>
        <v>0.25212352715518682</v>
      </c>
      <c r="K19" s="590">
        <f ca="1"/>
        <v>0.28828025563420129</v>
      </c>
      <c r="L19" s="590">
        <f ca="1"/>
        <v>0.28412371696017807</v>
      </c>
      <c r="M19" s="591">
        <f ca="1"/>
        <v>0.40218796870014589</v>
      </c>
      <c r="N19" s="591">
        <f ca="1"/>
        <v>0.47453567219543713</v>
      </c>
      <c r="O19" s="591">
        <f ca="1"/>
        <v>0.3038892235238238</v>
      </c>
      <c r="P19" s="592">
        <f ca="1"/>
        <v>0.20452354211581375</v>
      </c>
      <c r="Q19" s="592">
        <f ca="1"/>
        <v>0.10441910498634105</v>
      </c>
      <c r="R19" s="592">
        <f ca="1"/>
        <v>9.0691192147892868E-2</v>
      </c>
      <c r="S19" s="593">
        <f ca="1"/>
        <v>2.7594638437864365</v>
      </c>
      <c r="T19" s="195">
        <f t="shared" ca="1" si="5"/>
        <v>4.5842158432110924E-2</v>
      </c>
      <c r="U19" s="589">
        <f t="shared" ca="1" si="1"/>
        <v>0.3546896403674159</v>
      </c>
      <c r="V19" s="590">
        <f t="shared" ca="1" si="2"/>
        <v>0.82452749974956618</v>
      </c>
      <c r="W19" s="591">
        <f t="shared" ca="1" si="3"/>
        <v>1.1806128644194067</v>
      </c>
      <c r="X19" s="592">
        <f t="shared" ca="1" si="4"/>
        <v>0.3996338392500477</v>
      </c>
    </row>
    <row r="20" spans="4:35" ht="16.2" customHeight="1" thickTop="1" thickBot="1" x14ac:dyDescent="0.35">
      <c r="D20" s="112"/>
      <c r="E20" s="193">
        <v>2015</v>
      </c>
      <c r="F20" s="194" t="str">
        <f t="shared" ca="1" si="0"/>
        <v>£Bn</v>
      </c>
      <c r="G20" s="589">
        <f ca="1"/>
        <v>7.3695153656273021E-2</v>
      </c>
      <c r="H20" s="589">
        <f ca="1"/>
        <v>9.7785228444026637E-2</v>
      </c>
      <c r="I20" s="589">
        <f ca="1"/>
        <v>0.19301786896119902</v>
      </c>
      <c r="J20" s="590">
        <f ca="1"/>
        <v>0.25579690187372955</v>
      </c>
      <c r="K20" s="590">
        <f ca="1"/>
        <v>0.29661990206081729</v>
      </c>
      <c r="L20" s="590">
        <f ca="1"/>
        <v>0.29353301172911633</v>
      </c>
      <c r="M20" s="591">
        <f ca="1"/>
        <v>0.43516110956677795</v>
      </c>
      <c r="N20" s="591">
        <f ca="1"/>
        <v>0.50468418923743141</v>
      </c>
      <c r="O20" s="591">
        <f ca="1"/>
        <v>0.29349312417796408</v>
      </c>
      <c r="P20" s="592">
        <f ca="1"/>
        <v>0.2197947393512826</v>
      </c>
      <c r="Q20" s="592">
        <f ca="1"/>
        <v>0.11948215193585464</v>
      </c>
      <c r="R20" s="592">
        <f ca="1"/>
        <v>8.8713032334368322E-2</v>
      </c>
      <c r="S20" s="593">
        <f ca="1"/>
        <v>2.871776413328841</v>
      </c>
      <c r="T20" s="195">
        <f t="shared" ca="1" si="5"/>
        <v>4.0700866509014721E-2</v>
      </c>
      <c r="U20" s="589">
        <f t="shared" ca="1" si="1"/>
        <v>0.36449825106149869</v>
      </c>
      <c r="V20" s="590">
        <f t="shared" ca="1" si="2"/>
        <v>0.84594981566366312</v>
      </c>
      <c r="W20" s="591">
        <f t="shared" ca="1" si="3"/>
        <v>1.2333384229821736</v>
      </c>
      <c r="X20" s="592">
        <f t="shared" ca="1" si="4"/>
        <v>0.42798992362150556</v>
      </c>
    </row>
    <row r="21" spans="4:35" ht="16.2" customHeight="1" thickTop="1" thickBot="1" x14ac:dyDescent="0.35">
      <c r="D21" s="112"/>
      <c r="E21" s="193">
        <v>2016</v>
      </c>
      <c r="F21" s="194" t="str">
        <f t="shared" ca="1" si="0"/>
        <v>£Bn</v>
      </c>
      <c r="G21" s="589">
        <f ca="1"/>
        <v>7.4262380115353049E-2</v>
      </c>
      <c r="H21" s="589">
        <f ca="1"/>
        <v>9.6359261902905599E-2</v>
      </c>
      <c r="I21" s="589">
        <f ca="1"/>
        <v>0.23458870969344106</v>
      </c>
      <c r="J21" s="590">
        <f ca="1"/>
        <v>0.25122792982259096</v>
      </c>
      <c r="K21" s="590">
        <f ca="1"/>
        <v>0.27443688609747913</v>
      </c>
      <c r="L21" s="590">
        <f ca="1"/>
        <v>0.32321124369841175</v>
      </c>
      <c r="M21" s="591">
        <f ca="1"/>
        <v>0.43941600878477211</v>
      </c>
      <c r="N21" s="591">
        <f ca="1"/>
        <v>0.49508931620605645</v>
      </c>
      <c r="O21" s="591">
        <f ca="1"/>
        <v>0.31828842054844608</v>
      </c>
      <c r="P21" s="592">
        <f ca="1"/>
        <v>0.22161397874099514</v>
      </c>
      <c r="Q21" s="592">
        <f ca="1"/>
        <v>0.13131013029700939</v>
      </c>
      <c r="R21" s="592">
        <f ca="1"/>
        <v>0.10318035072989924</v>
      </c>
      <c r="S21" s="593">
        <f ca="1"/>
        <v>2.9629846166373599</v>
      </c>
      <c r="T21" s="195">
        <f t="shared" ca="1" si="5"/>
        <v>3.1760203505116991E-2</v>
      </c>
      <c r="U21" s="589">
        <f t="shared" ca="1" si="1"/>
        <v>0.40521035171169972</v>
      </c>
      <c r="V21" s="590">
        <f t="shared" ca="1" si="2"/>
        <v>0.84887605961848189</v>
      </c>
      <c r="W21" s="591">
        <f t="shared" ca="1" si="3"/>
        <v>1.2527937455392748</v>
      </c>
      <c r="X21" s="592">
        <f t="shared" ca="1" si="4"/>
        <v>0.45610445976790376</v>
      </c>
    </row>
    <row r="22" spans="4:35" ht="16.2" customHeight="1" thickTop="1" thickBot="1" x14ac:dyDescent="0.35">
      <c r="D22" s="112"/>
      <c r="E22" s="193">
        <v>2017</v>
      </c>
      <c r="F22" s="194" t="str">
        <f t="shared" ca="1" si="0"/>
        <v>£Bn</v>
      </c>
      <c r="G22" s="589">
        <f ca="1"/>
        <v>8.8726188235863035E-2</v>
      </c>
      <c r="H22" s="589">
        <f ca="1"/>
        <v>0.11353789642625098</v>
      </c>
      <c r="I22" s="589">
        <f ca="1"/>
        <v>0.22863604100812471</v>
      </c>
      <c r="J22" s="590">
        <f ca="1"/>
        <v>0.30787807495464736</v>
      </c>
      <c r="K22" s="590">
        <f ca="1"/>
        <v>0.29632499710132371</v>
      </c>
      <c r="L22" s="590">
        <f ca="1"/>
        <v>0.33672758787119439</v>
      </c>
      <c r="M22" s="591">
        <f ca="1"/>
        <v>0.44663780908114592</v>
      </c>
      <c r="N22" s="591">
        <f ca="1"/>
        <v>0.49562329524479148</v>
      </c>
      <c r="O22" s="591">
        <f ca="1"/>
        <v>0.32715901955177157</v>
      </c>
      <c r="P22" s="592">
        <f ca="1"/>
        <v>0.24860781942250418</v>
      </c>
      <c r="Q22" s="592">
        <f ca="1"/>
        <v>0.13518228906061577</v>
      </c>
      <c r="R22" s="592">
        <f ca="1"/>
        <v>0.11178127362076824</v>
      </c>
      <c r="S22" s="593">
        <f ca="1"/>
        <v>3.1368222915790014</v>
      </c>
      <c r="T22" s="195">
        <f t="shared" ca="1" si="5"/>
        <v>5.8669786527250745E-2</v>
      </c>
      <c r="U22" s="589">
        <f t="shared" ca="1" si="1"/>
        <v>0.43090012567023872</v>
      </c>
      <c r="V22" s="590">
        <f t="shared" ca="1" si="2"/>
        <v>0.9409306599271654</v>
      </c>
      <c r="W22" s="591">
        <f t="shared" ca="1" si="3"/>
        <v>1.269420123877709</v>
      </c>
      <c r="X22" s="592">
        <f t="shared" ca="1" si="4"/>
        <v>0.49557138210388818</v>
      </c>
    </row>
    <row r="23" spans="4:35" ht="16.2" customHeight="1" thickTop="1" thickBot="1" x14ac:dyDescent="0.35">
      <c r="D23" s="112"/>
      <c r="E23" s="193">
        <v>2018</v>
      </c>
      <c r="F23" s="194" t="str">
        <f t="shared" ca="1" si="0"/>
        <v>£Bn</v>
      </c>
      <c r="G23" s="589">
        <f ca="1"/>
        <v>9.288818244280414E-2</v>
      </c>
      <c r="H23" s="589">
        <f ca="1"/>
        <v>0.11769342221121792</v>
      </c>
      <c r="I23" s="589">
        <f ca="1"/>
        <v>0.24645815317652178</v>
      </c>
      <c r="J23" s="590">
        <f ca="1"/>
        <v>0.29664105006001856</v>
      </c>
      <c r="K23" s="590">
        <f ca="1"/>
        <v>0.34149365010539967</v>
      </c>
      <c r="L23" s="590">
        <f ca="1"/>
        <v>0.3753669983045827</v>
      </c>
      <c r="M23" s="591">
        <f ca="1"/>
        <v>0.48322232398918058</v>
      </c>
      <c r="N23" s="591">
        <f ca="1"/>
        <v>0.53770800620965797</v>
      </c>
      <c r="O23" s="591">
        <f ca="1"/>
        <v>0.36246806423571531</v>
      </c>
      <c r="P23" s="592">
        <f ca="1"/>
        <v>0.27695805862210304</v>
      </c>
      <c r="Q23" s="592">
        <f ca="1"/>
        <v>0.1503863337556457</v>
      </c>
      <c r="R23" s="592">
        <f ca="1"/>
        <v>0.11362032968545299</v>
      </c>
      <c r="S23" s="593">
        <f ca="1"/>
        <v>3.3949045727983007</v>
      </c>
      <c r="T23" s="195">
        <f t="shared" ca="1" si="5"/>
        <v>8.2275072423496187E-2</v>
      </c>
      <c r="U23" s="589">
        <f t="shared" ca="1" si="1"/>
        <v>0.45703975783054385</v>
      </c>
      <c r="V23" s="590">
        <f t="shared" ca="1" si="2"/>
        <v>1.0135016984700009</v>
      </c>
      <c r="W23" s="591">
        <f t="shared" ca="1" si="3"/>
        <v>1.383398394434554</v>
      </c>
      <c r="X23" s="592">
        <f t="shared" ca="1" si="4"/>
        <v>0.54096472206320168</v>
      </c>
    </row>
    <row r="24" spans="4:35" ht="16.2" customHeight="1" thickTop="1" thickBot="1" x14ac:dyDescent="0.35">
      <c r="D24" s="112"/>
      <c r="E24" s="193">
        <v>2019</v>
      </c>
      <c r="F24" s="194" t="str">
        <f t="shared" ca="1" si="0"/>
        <v>£Bn</v>
      </c>
      <c r="G24" s="589">
        <f ca="1"/>
        <v>0.11192965319088877</v>
      </c>
      <c r="H24" s="589">
        <f ca="1"/>
        <v>0.1280173301945676</v>
      </c>
      <c r="I24" s="589">
        <f ca="1"/>
        <v>0.26689189032302224</v>
      </c>
      <c r="J24" s="590">
        <f ca="1"/>
        <v>0.34161277915478799</v>
      </c>
      <c r="K24" s="590">
        <f ca="1"/>
        <v>0.37012976180329005</v>
      </c>
      <c r="L24" s="590">
        <f ca="1"/>
        <v>0.38626052673834971</v>
      </c>
      <c r="M24" s="591">
        <f ca="1"/>
        <v>0.51225157077112393</v>
      </c>
      <c r="N24" s="591">
        <f ca="1"/>
        <v>0.5711493963091786</v>
      </c>
      <c r="O24" s="591">
        <f ca="1"/>
        <v>0.39208963364594629</v>
      </c>
      <c r="P24" s="592">
        <f ca="1"/>
        <v>0.3001791329533865</v>
      </c>
      <c r="Q24" s="592">
        <f ca="1"/>
        <v>0.16425786701475351</v>
      </c>
      <c r="R24" s="592">
        <f ca="1"/>
        <v>0.14563314695514942</v>
      </c>
      <c r="S24" s="593">
        <f ca="1"/>
        <v>3.6904026890544444</v>
      </c>
      <c r="T24" s="195">
        <f t="shared" ca="1" si="5"/>
        <v>8.7041656081830565E-2</v>
      </c>
      <c r="U24" s="589">
        <f t="shared" ca="1" si="1"/>
        <v>0.50683887370847858</v>
      </c>
      <c r="V24" s="590">
        <f t="shared" ca="1" si="2"/>
        <v>1.0980030676964276</v>
      </c>
      <c r="W24" s="591">
        <f t="shared" ca="1" si="3"/>
        <v>1.4754906007262489</v>
      </c>
      <c r="X24" s="592">
        <f t="shared" ca="1" si="4"/>
        <v>0.61007014692328942</v>
      </c>
    </row>
    <row r="25" spans="4:35" ht="16.2" customHeight="1" thickTop="1" thickBot="1" x14ac:dyDescent="0.35">
      <c r="D25" s="112"/>
      <c r="E25" s="193">
        <v>2020</v>
      </c>
      <c r="F25" s="194" t="str">
        <f t="shared" ca="1" si="0"/>
        <v>£Bn</v>
      </c>
      <c r="G25" s="589">
        <f ca="1"/>
        <v>0.10897937788632137</v>
      </c>
      <c r="H25" s="589">
        <f ca="1"/>
        <v>0.12732306709802996</v>
      </c>
      <c r="I25" s="589">
        <f ca="1"/>
        <v>0.18444861199693555</v>
      </c>
      <c r="J25" s="590">
        <f ca="1"/>
        <v>0</v>
      </c>
      <c r="K25" s="590">
        <f ca="1"/>
        <v>0</v>
      </c>
      <c r="L25" s="590">
        <f ca="1"/>
        <v>3.1625776457343217E-3</v>
      </c>
      <c r="M25" s="591">
        <f ca="1"/>
        <v>0.15323478549058486</v>
      </c>
      <c r="N25" s="591">
        <f ca="1"/>
        <v>0.41098540250107518</v>
      </c>
      <c r="O25" s="591">
        <f ca="1"/>
        <v>0.34065397122083269</v>
      </c>
      <c r="P25" s="592">
        <f ca="1"/>
        <v>6.8395171834212107E-2</v>
      </c>
      <c r="Q25" s="592">
        <f ca="1"/>
        <v>4.8895017894949704E-2</v>
      </c>
      <c r="R25" s="592">
        <f ca="1"/>
        <v>2.947261140473657E-2</v>
      </c>
      <c r="S25" s="593">
        <f ca="1"/>
        <v>1.475550594973412</v>
      </c>
      <c r="T25" s="195">
        <f t="shared" ca="1" si="5"/>
        <v>-0.60016542385744964</v>
      </c>
      <c r="U25" s="589">
        <f t="shared" ca="1" si="1"/>
        <v>0.4207510569812869</v>
      </c>
      <c r="V25" s="590">
        <f t="shared" ca="1" si="2"/>
        <v>3.1625776457343217E-3</v>
      </c>
      <c r="W25" s="591">
        <f t="shared" ca="1" si="3"/>
        <v>0.9048741592124927</v>
      </c>
      <c r="X25" s="592">
        <f t="shared" ca="1" si="4"/>
        <v>0.14676280113389836</v>
      </c>
    </row>
    <row r="26" spans="4:35" ht="16.2" customHeight="1" thickTop="1" thickBot="1" x14ac:dyDescent="0.35">
      <c r="D26" s="112"/>
      <c r="E26" s="193">
        <v>2021</v>
      </c>
      <c r="F26" s="194" t="str">
        <f t="shared" ref="F26:F27" ca="1" si="6">$F$30</f>
        <v>£Bn</v>
      </c>
      <c r="G26" s="589">
        <f ca="1"/>
        <v>2.4787456881262881E-4</v>
      </c>
      <c r="H26" s="589">
        <f ca="1"/>
        <v>2.3130280289403635E-4</v>
      </c>
      <c r="I26" s="589">
        <f ca="1"/>
        <v>4.3871608319884736E-2</v>
      </c>
      <c r="J26" s="590">
        <f ca="1"/>
        <v>0.16081072074771657</v>
      </c>
      <c r="K26" s="590">
        <f ca="1"/>
        <v>0.1839003627907686</v>
      </c>
      <c r="L26" s="590">
        <f ca="1"/>
        <v>0.34437971151207258</v>
      </c>
      <c r="M26" s="591">
        <f ca="1"/>
        <v>0.50185684058940017</v>
      </c>
      <c r="N26" s="591">
        <f ca="1"/>
        <v>0.61729388370371951</v>
      </c>
      <c r="O26" s="591">
        <f ca="1"/>
        <v>0.46335112897801922</v>
      </c>
      <c r="P26" s="592">
        <f ca="1"/>
        <v>0.37779043171435134</v>
      </c>
      <c r="Q26" s="592">
        <f ca="1"/>
        <v>0.15429679445012179</v>
      </c>
      <c r="R26" s="592">
        <f ca="1"/>
        <v>0.13463420217775127</v>
      </c>
      <c r="S26" s="593">
        <f ca="1"/>
        <v>2.9826648623555125</v>
      </c>
      <c r="T26" s="195">
        <f t="shared" ca="1" si="5"/>
        <v>1.0213911149615695</v>
      </c>
      <c r="U26" s="589">
        <f t="shared" ca="1" si="1"/>
        <v>4.4350785691591399E-2</v>
      </c>
      <c r="V26" s="590">
        <f t="shared" ca="1" si="2"/>
        <v>0.68909079505055781</v>
      </c>
      <c r="W26" s="591">
        <f t="shared" ca="1" si="3"/>
        <v>1.5825018532711388</v>
      </c>
      <c r="X26" s="592">
        <f t="shared" ca="1" si="4"/>
        <v>0.66672142834222436</v>
      </c>
    </row>
    <row r="27" spans="4:35" ht="16.2" customHeight="1" thickTop="1" thickBot="1" x14ac:dyDescent="0.35">
      <c r="D27" s="112"/>
      <c r="E27" s="193">
        <v>2022</v>
      </c>
      <c r="F27" s="194" t="str">
        <f t="shared" ca="1" si="6"/>
        <v>£Bn</v>
      </c>
      <c r="G27" s="589">
        <f ca="1"/>
        <v>0.13168551792690808</v>
      </c>
      <c r="H27" s="589">
        <f ca="1"/>
        <v>0.15348957081713532</v>
      </c>
      <c r="I27" s="589">
        <f ca="1"/>
        <v>0.33056680716469067</v>
      </c>
      <c r="J27" s="590">
        <f ca="1"/>
        <v>0.37871561828543931</v>
      </c>
      <c r="K27" s="590">
        <f ca="1"/>
        <v>0.39926855624317209</v>
      </c>
      <c r="L27" s="590">
        <f ca="1"/>
        <v>0.44037025803086588</v>
      </c>
      <c r="M27" s="591">
        <f ca="1"/>
        <v>0.5798949384229124</v>
      </c>
      <c r="N27" s="591">
        <f ca="1"/>
        <v>0.63000476844196962</v>
      </c>
      <c r="O27" s="591">
        <f ca="1"/>
        <v>0.42862066337548999</v>
      </c>
      <c r="P27" s="592">
        <f ca="1"/>
        <v>0.34152385138245234</v>
      </c>
      <c r="Q27" s="592">
        <f ca="1"/>
        <v>0.19084188159988025</v>
      </c>
      <c r="R27" s="592">
        <f ca="1"/>
        <v>0.15315132938730541</v>
      </c>
      <c r="S27" s="593">
        <f ca="1"/>
        <v>4.1581337610782212</v>
      </c>
      <c r="T27" s="195">
        <f t="shared" ca="1" si="5"/>
        <v>0.39410022680000356</v>
      </c>
      <c r="U27" s="589">
        <f ca="1">IF(SUM(G27:I27)=0,"",SUM(G27:I27))</f>
        <v>0.61574189590873407</v>
      </c>
      <c r="V27" s="590">
        <f ca="1">IF(SUM(J27:L27)=0,"",SUM(J27:L27))</f>
        <v>1.2183544325594773</v>
      </c>
      <c r="W27" s="591">
        <f ca="1">IF(SUM(M27:O27)=0,"",SUM(M27:O27))</f>
        <v>1.6385203702403719</v>
      </c>
      <c r="X27" s="592">
        <f ca="1">IF(SUM(P27:R27)=0,"",SUM(P27:R27))</f>
        <v>0.68551706236963805</v>
      </c>
    </row>
    <row r="28" spans="4:35" ht="16.2" customHeight="1" thickTop="1" thickBot="1" x14ac:dyDescent="0.35">
      <c r="D28" s="112"/>
      <c r="E28" s="880" t="str">
        <f ca="1">$A$1&amp;IF(REP.indexed="YES"," - INDEXED TO "&amp;MAX(REP.yearsrange)," - IN HISTORIC PRICES")</f>
        <v>ECONOMIC IMPACT - IN HISTORIC PRICES</v>
      </c>
      <c r="F28" s="879"/>
      <c r="G28" s="879"/>
      <c r="H28" s="879"/>
      <c r="I28" s="879"/>
      <c r="J28" s="879"/>
      <c r="K28" s="879"/>
      <c r="L28" s="879"/>
      <c r="M28" s="879"/>
      <c r="N28" s="879"/>
      <c r="O28" s="879"/>
      <c r="P28" s="879"/>
      <c r="Q28" s="879"/>
      <c r="R28" s="879"/>
      <c r="S28" s="880" t="str">
        <f>UPPER(TYPE.userselected)</f>
        <v>TOTAL</v>
      </c>
      <c r="T28" s="879"/>
      <c r="U28" s="879"/>
      <c r="V28" s="879"/>
      <c r="W28" s="879"/>
      <c r="X28" s="881"/>
    </row>
    <row r="29" spans="4:35" ht="16.2" customHeight="1" thickTop="1" thickBot="1" x14ac:dyDescent="0.35">
      <c r="D29" s="196" t="str">
        <f t="shared" ref="D29:D35" ca="1" si="7">"'"&amp;$A$1&amp;"'!"&amp;CELL("address",G29)&amp;":"&amp;CELL("address",OFFSET(G29,0,YEARSINREP-1))</f>
        <v>'ECONOMIC IMPACT'!$G$29:$R$29</v>
      </c>
      <c r="E29" s="937" t="s">
        <v>120</v>
      </c>
      <c r="F29" s="938"/>
      <c r="G29" s="197">
        <f t="array" ref="G29:R29">TRANSPOSE(REP.yearsrange)</f>
        <v>2011</v>
      </c>
      <c r="H29" s="197">
        <v>2012</v>
      </c>
      <c r="I29" s="198">
        <v>2013</v>
      </c>
      <c r="J29" s="198">
        <v>2014</v>
      </c>
      <c r="K29" s="198">
        <v>2015</v>
      </c>
      <c r="L29" s="198">
        <v>2016</v>
      </c>
      <c r="M29" s="198">
        <v>2017</v>
      </c>
      <c r="N29" s="198">
        <v>2018</v>
      </c>
      <c r="O29" s="198">
        <v>2019</v>
      </c>
      <c r="P29" s="198">
        <v>2020</v>
      </c>
      <c r="Q29" s="198">
        <v>2021</v>
      </c>
      <c r="R29" s="198">
        <v>2022</v>
      </c>
      <c r="S29" s="198"/>
      <c r="T29" s="199"/>
      <c r="U29" s="199"/>
      <c r="V29" s="199"/>
      <c r="W29" s="199"/>
      <c r="X29" s="199"/>
      <c r="Z29" s="76"/>
      <c r="AA29" s="76"/>
      <c r="AB29" s="76"/>
      <c r="AC29" s="76"/>
      <c r="AD29" s="76"/>
      <c r="AE29" s="76"/>
      <c r="AF29" s="76"/>
      <c r="AG29" s="76"/>
      <c r="AH29" s="76"/>
      <c r="AI29" s="76"/>
    </row>
    <row r="30" spans="4:35" ht="16.2" customHeight="1" thickTop="1" thickBot="1" x14ac:dyDescent="0.35">
      <c r="D30" s="196" t="str">
        <f t="shared" ca="1" si="7"/>
        <v>'ECONOMIC IMPACT'!$G$30:$R$30</v>
      </c>
      <c r="E30" s="200" t="str">
        <f>IF(TYPE.userselected="SFR",TYPE.userselected,PROPER(VISTYPE.short))</f>
        <v>Total</v>
      </c>
      <c r="F30" s="194" t="str">
        <f ca="1">F16</f>
        <v>£Bn</v>
      </c>
      <c r="G30" s="594">
        <f t="array" aca="1" ref="G30:R30" ca="1">EI.SHARE_VT_ANN</f>
        <v>2.4415275306474036</v>
      </c>
      <c r="H30" s="594">
        <f ca="1"/>
        <v>2.4482126690505579</v>
      </c>
      <c r="I30" s="594">
        <f ca="1"/>
        <v>2.6385089007344336</v>
      </c>
      <c r="J30" s="594">
        <f ca="1"/>
        <v>2.7594638437864365</v>
      </c>
      <c r="K30" s="594">
        <f ca="1"/>
        <v>2.871776413328841</v>
      </c>
      <c r="L30" s="594">
        <f ca="1"/>
        <v>2.9629846166373599</v>
      </c>
      <c r="M30" s="594">
        <f ca="1"/>
        <v>3.1368222915790014</v>
      </c>
      <c r="N30" s="594">
        <f ca="1"/>
        <v>3.3949045727983007</v>
      </c>
      <c r="O30" s="594">
        <f ca="1"/>
        <v>3.6904026890544444</v>
      </c>
      <c r="P30" s="594">
        <f ca="1"/>
        <v>1.475550594973412</v>
      </c>
      <c r="Q30" s="594">
        <f ca="1"/>
        <v>2.9826648623555125</v>
      </c>
      <c r="R30" s="594">
        <f ca="1"/>
        <v>4.1581337610782212</v>
      </c>
      <c r="S30" s="201"/>
      <c r="T30" s="199"/>
      <c r="U30" s="199"/>
      <c r="V30" s="199"/>
      <c r="W30" s="199"/>
      <c r="X30" s="199"/>
    </row>
    <row r="31" spans="4:35" ht="16.2" customHeight="1" thickTop="1" thickBot="1" x14ac:dyDescent="0.35">
      <c r="D31" s="196" t="str">
        <f t="shared" ca="1" si="7"/>
        <v>'ECONOMIC IMPACT'!$G$31:$R$31</v>
      </c>
      <c r="E31" s="200" t="s">
        <v>96</v>
      </c>
      <c r="F31" s="194" t="str">
        <f>IF($A$4=1,"£000s",IF(A4=1000,"£M","£Bn"))</f>
        <v>£Bn</v>
      </c>
      <c r="G31" s="595">
        <f t="array" aca="1" ref="G31:R31" ca="1">EI.SHARE_TOTAL_ANN</f>
        <v>2.4415275306474036</v>
      </c>
      <c r="H31" s="595">
        <f ca="1"/>
        <v>2.4482126690505579</v>
      </c>
      <c r="I31" s="595">
        <f ca="1"/>
        <v>2.6385089007344336</v>
      </c>
      <c r="J31" s="595">
        <f ca="1"/>
        <v>2.7594638437864365</v>
      </c>
      <c r="K31" s="595">
        <f ca="1"/>
        <v>2.871776413328841</v>
      </c>
      <c r="L31" s="595">
        <f ca="1"/>
        <v>2.9629846166373599</v>
      </c>
      <c r="M31" s="595">
        <f ca="1"/>
        <v>3.1368222915790014</v>
      </c>
      <c r="N31" s="595">
        <f ca="1"/>
        <v>3.3949045727983007</v>
      </c>
      <c r="O31" s="595">
        <f ca="1"/>
        <v>3.6904026890544444</v>
      </c>
      <c r="P31" s="595">
        <f ca="1"/>
        <v>1.475550594973412</v>
      </c>
      <c r="Q31" s="595">
        <f ca="1"/>
        <v>2.9826648623555125</v>
      </c>
      <c r="R31" s="595">
        <f ca="1"/>
        <v>4.1581337610782212</v>
      </c>
      <c r="S31" s="202"/>
      <c r="T31" s="199"/>
      <c r="U31" s="199"/>
      <c r="V31" s="199"/>
      <c r="W31" s="199"/>
      <c r="X31" s="199"/>
    </row>
    <row r="32" spans="4:35" ht="16.2" customHeight="1" thickTop="1" thickBot="1" x14ac:dyDescent="0.35">
      <c r="D32" s="196" t="str">
        <f t="shared" ca="1" si="7"/>
        <v>'ECONOMIC IMPACT'!$G$32:$R$32</v>
      </c>
      <c r="E32" s="200" t="s">
        <v>121</v>
      </c>
      <c r="F32" s="194" t="s">
        <v>117</v>
      </c>
      <c r="G32" s="135">
        <f t="array" aca="1" ref="G32:R32" ca="1">IFERROR((EI.SHARE_VT_ANN*$A$2)/(EI.SHARE_TOTAL_ANN*$A$4),"")</f>
        <v>1</v>
      </c>
      <c r="H32" s="135">
        <f ca="1"/>
        <v>1</v>
      </c>
      <c r="I32" s="135">
        <f ca="1"/>
        <v>1</v>
      </c>
      <c r="J32" s="135">
        <f ca="1"/>
        <v>1</v>
      </c>
      <c r="K32" s="135">
        <f ca="1"/>
        <v>1</v>
      </c>
      <c r="L32" s="135">
        <f ca="1"/>
        <v>1</v>
      </c>
      <c r="M32" s="135">
        <f ca="1"/>
        <v>1</v>
      </c>
      <c r="N32" s="135">
        <f ca="1"/>
        <v>1</v>
      </c>
      <c r="O32" s="135">
        <f ca="1"/>
        <v>1</v>
      </c>
      <c r="P32" s="135">
        <f ca="1"/>
        <v>1</v>
      </c>
      <c r="Q32" s="135">
        <f ca="1"/>
        <v>1</v>
      </c>
      <c r="R32" s="135">
        <f ca="1"/>
        <v>1</v>
      </c>
      <c r="S32" s="135"/>
      <c r="T32" s="199"/>
      <c r="U32" s="199"/>
      <c r="V32" s="199"/>
      <c r="W32" s="199"/>
      <c r="X32" s="199"/>
    </row>
    <row r="33" spans="4:24" ht="16.2" customHeight="1" thickTop="1" thickBot="1" x14ac:dyDescent="0.35">
      <c r="D33" s="196" t="str">
        <f t="shared" ca="1" si="7"/>
        <v>'ECONOMIC IMPACT'!$G$33:$R$33</v>
      </c>
      <c r="E33" s="200" t="s">
        <v>122</v>
      </c>
      <c r="F33" s="194" t="s">
        <v>117</v>
      </c>
      <c r="G33" s="195"/>
      <c r="H33" s="135">
        <f ca="1">IFERROR(H32/G32-1,"")</f>
        <v>0</v>
      </c>
      <c r="I33" s="135">
        <f t="shared" ref="I33:R33" ca="1" si="8">IFERROR(I32/H32-1,"")</f>
        <v>0</v>
      </c>
      <c r="J33" s="135">
        <f t="shared" ca="1" si="8"/>
        <v>0</v>
      </c>
      <c r="K33" s="135">
        <f t="shared" ca="1" si="8"/>
        <v>0</v>
      </c>
      <c r="L33" s="135">
        <f t="shared" ca="1" si="8"/>
        <v>0</v>
      </c>
      <c r="M33" s="135">
        <f t="shared" ca="1" si="8"/>
        <v>0</v>
      </c>
      <c r="N33" s="135">
        <f t="shared" ca="1" si="8"/>
        <v>0</v>
      </c>
      <c r="O33" s="135">
        <f t="shared" ca="1" si="8"/>
        <v>0</v>
      </c>
      <c r="P33" s="135">
        <f t="shared" ca="1" si="8"/>
        <v>0</v>
      </c>
      <c r="Q33" s="135">
        <f t="shared" ca="1" si="8"/>
        <v>0</v>
      </c>
      <c r="R33" s="135">
        <f t="shared" ca="1" si="8"/>
        <v>0</v>
      </c>
      <c r="S33" s="135"/>
      <c r="T33" s="199"/>
      <c r="U33" s="199"/>
      <c r="V33" s="199"/>
      <c r="W33" s="199"/>
      <c r="X33" s="199"/>
    </row>
    <row r="34" spans="4:24" ht="16.2" customHeight="1" thickTop="1" thickBot="1" x14ac:dyDescent="0.35">
      <c r="D34" s="196" t="str">
        <f t="shared" ca="1" si="7"/>
        <v>'ECONOMIC IMPACT'!$G$34:$R$34</v>
      </c>
      <c r="E34" s="200" t="str">
        <f>"Change in Share from "&amp;MIN(REP.yearsrange)</f>
        <v>Change in Share from 2011</v>
      </c>
      <c r="F34" s="194" t="s">
        <v>117</v>
      </c>
      <c r="G34" s="195"/>
      <c r="H34" s="135">
        <f t="shared" ref="H34:R34" ca="1" si="9">IFERROR(H32/$G$32-1,"")</f>
        <v>0</v>
      </c>
      <c r="I34" s="135">
        <f t="shared" ca="1" si="9"/>
        <v>0</v>
      </c>
      <c r="J34" s="135">
        <f t="shared" ca="1" si="9"/>
        <v>0</v>
      </c>
      <c r="K34" s="135">
        <f t="shared" ca="1" si="9"/>
        <v>0</v>
      </c>
      <c r="L34" s="135">
        <f t="shared" ca="1" si="9"/>
        <v>0</v>
      </c>
      <c r="M34" s="135">
        <f t="shared" ca="1" si="9"/>
        <v>0</v>
      </c>
      <c r="N34" s="135">
        <f t="shared" ca="1" si="9"/>
        <v>0</v>
      </c>
      <c r="O34" s="135">
        <f t="shared" ca="1" si="9"/>
        <v>0</v>
      </c>
      <c r="P34" s="135">
        <f t="shared" ca="1" si="9"/>
        <v>0</v>
      </c>
      <c r="Q34" s="135">
        <f t="shared" ca="1" si="9"/>
        <v>0</v>
      </c>
      <c r="R34" s="135">
        <f t="shared" ca="1" si="9"/>
        <v>0</v>
      </c>
      <c r="S34" s="135"/>
      <c r="T34" s="199"/>
      <c r="U34" s="199"/>
      <c r="V34" s="199"/>
      <c r="W34" s="199"/>
      <c r="X34" s="199"/>
    </row>
    <row r="35" spans="4:24" ht="16.2" customHeight="1" thickTop="1" thickBot="1" x14ac:dyDescent="0.35">
      <c r="D35" s="196" t="str">
        <f t="shared" ca="1" si="7"/>
        <v>'ECONOMIC IMPACT'!$G$35:$R$35</v>
      </c>
      <c r="E35" s="200" t="s">
        <v>146</v>
      </c>
      <c r="F35" s="194" t="s">
        <v>117</v>
      </c>
      <c r="G35" s="195"/>
      <c r="H35" s="135">
        <f ca="1">IFERROR(H34/(H$29-$G$29),"")</f>
        <v>0</v>
      </c>
      <c r="I35" s="135">
        <f t="shared" ref="I35:R35" ca="1" si="10">IFERROR(I34/(I$29-$G$29),"")</f>
        <v>0</v>
      </c>
      <c r="J35" s="135">
        <f t="shared" ca="1" si="10"/>
        <v>0</v>
      </c>
      <c r="K35" s="135">
        <f t="shared" ca="1" si="10"/>
        <v>0</v>
      </c>
      <c r="L35" s="135">
        <f t="shared" ca="1" si="10"/>
        <v>0</v>
      </c>
      <c r="M35" s="135">
        <f t="shared" ca="1" si="10"/>
        <v>0</v>
      </c>
      <c r="N35" s="135">
        <f t="shared" ca="1" si="10"/>
        <v>0</v>
      </c>
      <c r="O35" s="135">
        <f t="shared" ca="1" si="10"/>
        <v>0</v>
      </c>
      <c r="P35" s="135">
        <f t="shared" ca="1" si="10"/>
        <v>0</v>
      </c>
      <c r="Q35" s="135">
        <f t="shared" ca="1" si="10"/>
        <v>0</v>
      </c>
      <c r="R35" s="135">
        <f t="shared" ca="1" si="10"/>
        <v>0</v>
      </c>
      <c r="S35" s="135"/>
      <c r="T35" s="199"/>
      <c r="U35" s="199"/>
      <c r="V35" s="199"/>
      <c r="W35" s="199"/>
      <c r="X35" s="199"/>
    </row>
    <row r="36" spans="4:24" ht="16.2" customHeight="1" thickTop="1" thickBot="1" x14ac:dyDescent="0.35">
      <c r="D36" s="196"/>
      <c r="E36" s="663"/>
      <c r="F36" s="267"/>
      <c r="G36" s="195"/>
      <c r="H36" s="135"/>
      <c r="I36" s="135"/>
      <c r="J36" s="135"/>
      <c r="K36" s="135"/>
      <c r="L36" s="135"/>
      <c r="M36" s="135"/>
      <c r="N36" s="135"/>
      <c r="O36" s="135"/>
      <c r="P36" s="135"/>
      <c r="Q36" s="135"/>
      <c r="R36" s="135"/>
      <c r="S36" s="135"/>
      <c r="T36" s="199"/>
      <c r="U36" s="199"/>
      <c r="V36" s="199"/>
      <c r="W36" s="199"/>
      <c r="X36" s="199"/>
    </row>
    <row r="37" spans="4:24" ht="16.2" customHeight="1" thickTop="1" thickBot="1" x14ac:dyDescent="0.35">
      <c r="D37" s="112"/>
      <c r="E37" s="203" t="str">
        <f>IF(COUNT(REP.yearsrange)&lt;MAX(REP.yearnos),"Note: This report caters for a period of up to 12 years. Parts of this page are intentionally left blank to accommodate new data as it becomes available.","")</f>
        <v/>
      </c>
      <c r="F37" s="129"/>
      <c r="G37" s="129"/>
      <c r="H37" s="129"/>
      <c r="I37" s="129"/>
      <c r="J37" s="129"/>
      <c r="K37" s="129"/>
      <c r="L37" s="129"/>
      <c r="M37" s="129"/>
      <c r="N37" s="129"/>
      <c r="O37" s="129"/>
      <c r="P37" s="129"/>
      <c r="Q37" s="129"/>
      <c r="R37" s="129"/>
      <c r="S37" s="199"/>
      <c r="T37" s="199"/>
      <c r="U37" s="199"/>
      <c r="V37" s="199"/>
      <c r="W37" s="199"/>
      <c r="X37" s="199"/>
    </row>
    <row r="38" spans="4:24" s="42"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As5EEhS0UdsLpzDJyh5t7CI+Xnuc0xSfcuN5MPGrkF+quvPZ2QsWFHEJGQxYDo1m8KsJEtzubJIjTbetoJ4z5g==" saltValue="/QS6f4Af6BtS4AGjTkEk8Q==" spinCount="100000" sheet="1" objects="1" scenarios="1"/>
  <mergeCells count="27">
    <mergeCell ref="S28:X28"/>
    <mergeCell ref="T10:T12"/>
    <mergeCell ref="S8:T9"/>
    <mergeCell ref="E8:F8"/>
    <mergeCell ref="U8:X11"/>
    <mergeCell ref="S10:S12"/>
    <mergeCell ref="E9:F9"/>
    <mergeCell ref="E10:F10"/>
    <mergeCell ref="E11:F11"/>
    <mergeCell ref="G10:R10"/>
    <mergeCell ref="G8:R8"/>
    <mergeCell ref="S6:T7"/>
    <mergeCell ref="U6:X7"/>
    <mergeCell ref="E29:F29"/>
    <mergeCell ref="E13:F13"/>
    <mergeCell ref="E14:F14"/>
    <mergeCell ref="E15:F15"/>
    <mergeCell ref="T13:T16"/>
    <mergeCell ref="E12:F12"/>
    <mergeCell ref="G9:R9"/>
    <mergeCell ref="G11:I11"/>
    <mergeCell ref="J11:L11"/>
    <mergeCell ref="M11:O11"/>
    <mergeCell ref="P11:R11"/>
    <mergeCell ref="P7:R7"/>
    <mergeCell ref="P6:R6"/>
    <mergeCell ref="E28:R28"/>
  </mergeCells>
  <conditionalFormatting sqref="E16:X27">
    <cfRule type="expression" dxfId="146" priority="7">
      <formula>$E16=0</formula>
    </cfRule>
  </conditionalFormatting>
  <conditionalFormatting sqref="F31">
    <cfRule type="expression" dxfId="145" priority="47">
      <formula>$E16=0</formula>
    </cfRule>
  </conditionalFormatting>
  <conditionalFormatting sqref="G13:S15">
    <cfRule type="expression" priority="2" stopIfTrue="1">
      <formula>G13=""</formula>
    </cfRule>
    <cfRule type="cellIs" dxfId="144" priority="21" operator="lessThanOrEqual">
      <formula>-REP.percenthighlight</formula>
    </cfRule>
    <cfRule type="cellIs" dxfId="143" priority="22" operator="greaterThanOrEqual">
      <formula>REP.percenthighlight</formula>
    </cfRule>
  </conditionalFormatting>
  <conditionalFormatting sqref="G16:S27 U16:X27 G30:R31">
    <cfRule type="expression" dxfId="142" priority="5">
      <formula>$A$2=1</formula>
    </cfRule>
    <cfRule type="expression" dxfId="141" priority="6">
      <formula>AND($A$2&gt;1,G16&lt;10)</formula>
    </cfRule>
  </conditionalFormatting>
  <conditionalFormatting sqref="G30:S34 H35:S36">
    <cfRule type="expression" dxfId="140" priority="27" stopIfTrue="1">
      <formula>G$29=0</formula>
    </cfRule>
  </conditionalFormatting>
  <conditionalFormatting sqref="G33:S34">
    <cfRule type="cellIs" dxfId="139" priority="30" operator="lessThanOrEqual">
      <formula>-REP.percenthighlight</formula>
    </cfRule>
    <cfRule type="cellIs" dxfId="138" priority="31" operator="greaterThanOrEqual">
      <formula>REP.percenthighlight</formula>
    </cfRule>
  </conditionalFormatting>
  <conditionalFormatting sqref="H35:S36">
    <cfRule type="cellIs" dxfId="137" priority="28" operator="lessThanOrEqual">
      <formula>-REP.percenthighlight</formula>
    </cfRule>
    <cfRule type="cellIs" dxfId="136" priority="29" operator="greaterThanOrEqual">
      <formula>REP.percenthighlight</formula>
    </cfRule>
  </conditionalFormatting>
  <conditionalFormatting sqref="I29:S29">
    <cfRule type="expression" dxfId="135" priority="32">
      <formula>I29=0</formula>
    </cfRule>
  </conditionalFormatting>
  <conditionalFormatting sqref="S6:T7 G9:R9 S28:X28">
    <cfRule type="expression" dxfId="134" priority="8">
      <formula>TYPE.no=6</formula>
    </cfRule>
    <cfRule type="expression" dxfId="133" priority="9">
      <formula>TYPE.no=5</formula>
    </cfRule>
    <cfRule type="expression" dxfId="132" priority="10">
      <formula>TYPE.no=4</formula>
    </cfRule>
    <cfRule type="expression" dxfId="131" priority="11">
      <formula>TYPE.no=3</formula>
    </cfRule>
    <cfRule type="expression" dxfId="130" priority="12">
      <formula>TYPE.no=2</formula>
    </cfRule>
    <cfRule type="expression" dxfId="129" priority="13">
      <formula>TYPE.no=1</formula>
    </cfRule>
  </conditionalFormatting>
  <conditionalFormatting sqref="T17:T27">
    <cfRule type="cellIs" dxfId="128" priority="24" operator="greaterThanOrEqual">
      <formula>REP.percenthighlight</formula>
    </cfRule>
    <cfRule type="cellIs" dxfId="127" priority="36" operator="lessThanOrEqual">
      <formula>-REP.percenthighlight</formula>
    </cfRule>
  </conditionalFormatting>
  <conditionalFormatting sqref="U13:X15">
    <cfRule type="expression" priority="1" stopIfTrue="1">
      <formula>U13=""</formula>
    </cfRule>
    <cfRule type="cellIs" dxfId="126" priority="3" operator="lessThanOrEqual">
      <formula>-REP.percenthighlight</formula>
    </cfRule>
    <cfRule type="cellIs" dxfId="125" priority="4" operator="greater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40" r:id="rId4" name="Drop Down 16">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042" r:id="rId5" name="Drop Down 18">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044" r:id="rId6" name="Drop Down 20">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Output04">
    <tabColor rgb="FF00B050"/>
    <outlinePr showOutlineSymbols="0"/>
    <pageSetUpPr autoPageBreaks="0" fitToPage="1"/>
  </sheetPr>
  <dimension ref="A1:Y70"/>
  <sheetViews>
    <sheetView showGridLines="0" showRowColHeaders="0" showZeros="0" showOutlineSymbols="0" zoomScaleNormal="100" workbookViewId="0">
      <pane ySplit="7" topLeftCell="A8" activePane="bottomLeft" state="frozen"/>
      <selection activeCell="G33" sqref="G33:G35"/>
      <selection pane="bottomLeft" activeCell="S16" sqref="S16"/>
    </sheetView>
  </sheetViews>
  <sheetFormatPr defaultColWidth="4.88671875" defaultRowHeight="16.2" customHeight="1" x14ac:dyDescent="0.3"/>
  <cols>
    <col min="1" max="1" width="7" style="39" bestFit="1" customWidth="1"/>
    <col min="2" max="3" width="4.88671875" style="39"/>
    <col min="4" max="4" width="4.88671875" style="40"/>
    <col min="5" max="5" width="19.5546875" style="39" customWidth="1"/>
    <col min="6" max="6" width="5.109375" style="39" customWidth="1"/>
    <col min="7" max="24" width="7.33203125" style="39" customWidth="1"/>
    <col min="25" max="25" width="4.88671875" style="39"/>
    <col min="26" max="26" width="8.44140625" style="39" bestFit="1" customWidth="1"/>
    <col min="27" max="16384" width="4.88671875" style="39"/>
  </cols>
  <sheetData>
    <row r="1" spans="1:25" ht="16.2" hidden="1" customHeight="1" thickTop="1" thickBot="1" x14ac:dyDescent="0.35">
      <c r="A1" s="37" t="str">
        <f ca="1">MID(CELL("filename",A1),FIND("]",CELL("filename",A1))+1,255)</f>
        <v>VISITOR NUMBERS</v>
      </c>
      <c r="E1" s="53"/>
      <c r="F1" s="54"/>
      <c r="G1" s="54"/>
      <c r="H1" s="54"/>
      <c r="I1" s="54"/>
      <c r="J1" s="54"/>
      <c r="K1" s="54"/>
      <c r="L1" s="54"/>
      <c r="M1" s="54"/>
      <c r="N1" s="54"/>
      <c r="O1" s="54"/>
      <c r="P1" s="54"/>
      <c r="Q1" s="54"/>
      <c r="R1" s="54"/>
      <c r="S1" s="54"/>
      <c r="T1" s="54"/>
      <c r="U1" s="54"/>
      <c r="V1" s="54"/>
      <c r="W1" s="54"/>
      <c r="X1" s="55"/>
    </row>
    <row r="2" spans="1:25" ht="16.2" customHeight="1" thickTop="1" x14ac:dyDescent="0.3">
      <c r="A2" s="618">
        <f ca="1">IF(($A$3/1000000)&gt;1,1000000,IF(($A$3/1000)&gt;1,1000,1))</f>
        <v>1000</v>
      </c>
      <c r="B2" s="618"/>
      <c r="C2" s="618"/>
      <c r="D2" s="622"/>
      <c r="E2" s="44"/>
      <c r="F2" s="45"/>
      <c r="G2" s="45"/>
      <c r="H2" s="45"/>
      <c r="I2" s="45"/>
      <c r="J2" s="45"/>
      <c r="K2" s="45"/>
      <c r="L2" s="45"/>
      <c r="M2" s="45"/>
      <c r="N2" s="45"/>
      <c r="O2" s="45"/>
      <c r="P2" s="45"/>
      <c r="Q2" s="45"/>
      <c r="R2" s="45"/>
      <c r="S2" s="45"/>
      <c r="T2" s="45"/>
      <c r="U2" s="45"/>
      <c r="V2" s="45"/>
      <c r="W2" s="45"/>
      <c r="X2" s="46"/>
    </row>
    <row r="3" spans="1:25" ht="26.4" customHeight="1" x14ac:dyDescent="0.3">
      <c r="A3" s="618">
        <f t="array" aca="1" ref="A3" ca="1">IFERROR(AVERAGE(IF(TYPE.no=5,(INDEX(DATA!T:T,MATCH(REP.yearsrange&amp;"."&amp;'VISITOR NUMBERS'!$A$1&amp;"."&amp;TOTAL,REP.lookup,0))-INDEX(DATA!T:T,MATCH(REP.yearsrange&amp;"."&amp;'VISITOR NUMBERS'!$A$1&amp;"."&amp;DV,REP.lookup,0))),INDEX(DATA!T:T,MATCH(REP.yearsrange&amp;"."&amp;'VISITOR NUMBERS'!$A$1&amp;"."&amp;TYPE.userselected,REP.lookup,0)))),0)</f>
        <v>26806.05877468464</v>
      </c>
      <c r="B3" s="618"/>
      <c r="C3" s="618"/>
      <c r="D3" s="622"/>
      <c r="E3" s="47"/>
      <c r="F3" s="43"/>
      <c r="G3" s="43"/>
      <c r="H3" s="43"/>
      <c r="I3" s="43"/>
      <c r="J3" s="43"/>
      <c r="K3" s="43"/>
      <c r="L3" s="43"/>
      <c r="M3" s="43"/>
      <c r="N3" s="43"/>
      <c r="O3" s="43"/>
      <c r="P3" s="43"/>
      <c r="Q3" s="43"/>
      <c r="R3" s="43"/>
      <c r="S3" s="43"/>
      <c r="T3" s="43"/>
      <c r="U3" s="43"/>
      <c r="V3" s="43"/>
      <c r="W3" s="43"/>
      <c r="X3" s="48"/>
    </row>
    <row r="4" spans="1:25" ht="26.4" customHeight="1" x14ac:dyDescent="0.3">
      <c r="A4" s="618">
        <f>IF(($A$5/1000000)&gt;1,1000000,IF(($A$5/1000)&gt;1,1000,1))</f>
        <v>1000</v>
      </c>
      <c r="B4" s="618"/>
      <c r="C4" s="618"/>
      <c r="D4" s="622"/>
      <c r="E4" s="58"/>
      <c r="F4" s="59"/>
      <c r="G4" s="59"/>
      <c r="H4" s="59"/>
      <c r="I4" s="59"/>
      <c r="J4" s="59"/>
      <c r="K4" s="59"/>
      <c r="L4" s="59"/>
      <c r="M4" s="59"/>
      <c r="N4" s="59"/>
      <c r="O4" s="59"/>
      <c r="P4" s="59"/>
      <c r="Q4" s="59"/>
      <c r="R4" s="59"/>
      <c r="S4" s="59"/>
      <c r="T4" s="59"/>
      <c r="U4" s="59"/>
      <c r="V4" s="59"/>
      <c r="W4" s="59"/>
      <c r="X4" s="60"/>
    </row>
    <row r="5" spans="1:25" ht="26.4" customHeight="1" thickBot="1" x14ac:dyDescent="0.35">
      <c r="A5" s="618">
        <f>VLOOKUP(FOCUSYEAR&amp;".VISITOR NUMBERS.TOTAL",REP.data,18,FALSE)</f>
        <v>30964.403794480586</v>
      </c>
      <c r="B5" s="618"/>
      <c r="C5" s="618"/>
      <c r="D5" s="622"/>
      <c r="E5" s="50"/>
      <c r="F5" s="51"/>
      <c r="G5" s="51"/>
      <c r="H5" s="51"/>
      <c r="I5" s="51"/>
      <c r="J5" s="51"/>
      <c r="K5" s="51"/>
      <c r="L5" s="51"/>
      <c r="M5" s="51"/>
      <c r="N5" s="51"/>
      <c r="O5" s="51"/>
      <c r="P5" s="51"/>
      <c r="Q5" s="51"/>
      <c r="R5" s="51"/>
      <c r="S5" s="51"/>
      <c r="T5" s="51"/>
      <c r="U5" s="51"/>
      <c r="V5" s="51"/>
      <c r="W5" s="51"/>
      <c r="X5" s="52"/>
    </row>
    <row r="6" spans="1:25" ht="16.2" customHeight="1" thickTop="1" x14ac:dyDescent="0.3">
      <c r="D6" s="112"/>
      <c r="E6" s="373" t="str">
        <f>REP.title1</f>
        <v>STEAM FINAL TREND REPORT FOR 2011-2022</v>
      </c>
      <c r="F6" s="387"/>
      <c r="G6" s="387"/>
      <c r="H6" s="387"/>
      <c r="I6" s="387"/>
      <c r="J6" s="387"/>
      <c r="K6" s="387"/>
      <c r="L6" s="387"/>
      <c r="M6" s="387"/>
      <c r="N6" s="387"/>
      <c r="O6" s="388"/>
      <c r="P6" s="1024" t="str">
        <f>MIN(REP.yearsrange)&amp;" to "&amp;MAX(REP.yearsrange)</f>
        <v>2011 to 2022</v>
      </c>
      <c r="Q6" s="1025"/>
      <c r="R6" s="1026"/>
      <c r="S6" s="948" t="str">
        <f>UPPER(VISTYPE.short)</f>
        <v>TOTAL</v>
      </c>
      <c r="T6" s="949"/>
      <c r="U6" s="1018" t="str">
        <f ca="1">$A$1</f>
        <v>VISITOR NUMBERS</v>
      </c>
      <c r="V6" s="1019"/>
      <c r="W6" s="1019"/>
      <c r="X6" s="1020"/>
    </row>
    <row r="7" spans="1:25" ht="16.2" customHeight="1" thickBot="1" x14ac:dyDescent="0.35">
      <c r="D7" s="112"/>
      <c r="E7" s="374" t="str">
        <f>REP.title2</f>
        <v>NORTH WALES</v>
      </c>
      <c r="F7" s="375"/>
      <c r="G7" s="375"/>
      <c r="H7" s="375"/>
      <c r="I7" s="376"/>
      <c r="J7" s="376"/>
      <c r="K7" s="376"/>
      <c r="L7" s="376"/>
      <c r="M7" s="376"/>
      <c r="N7" s="376"/>
      <c r="O7" s="389"/>
      <c r="P7" s="1027"/>
      <c r="Q7" s="1028"/>
      <c r="R7" s="1029"/>
      <c r="S7" s="950"/>
      <c r="T7" s="951"/>
      <c r="U7" s="1021"/>
      <c r="V7" s="1022"/>
      <c r="W7" s="1022"/>
      <c r="X7" s="1023"/>
    </row>
    <row r="8" spans="1:25" ht="16.2" customHeight="1" thickTop="1" thickBot="1" x14ac:dyDescent="0.35">
      <c r="D8" s="112"/>
      <c r="E8" s="880" t="str">
        <f ca="1">$A$1&amp;" BY:"</f>
        <v>VISITOR NUMBERS BY:</v>
      </c>
      <c r="F8" s="881"/>
      <c r="G8" s="880" t="s">
        <v>132</v>
      </c>
      <c r="H8" s="879"/>
      <c r="I8" s="879"/>
      <c r="J8" s="879"/>
      <c r="K8" s="879"/>
      <c r="L8" s="879"/>
      <c r="M8" s="879"/>
      <c r="N8" s="879"/>
      <c r="O8" s="879"/>
      <c r="P8" s="879"/>
      <c r="Q8" s="879"/>
      <c r="R8" s="879"/>
      <c r="S8" s="1005" t="s">
        <v>123</v>
      </c>
      <c r="T8" s="1006"/>
      <c r="U8" s="1009" t="s">
        <v>124</v>
      </c>
      <c r="V8" s="1010"/>
      <c r="W8" s="1010"/>
      <c r="X8" s="1011"/>
    </row>
    <row r="9" spans="1:25" s="35" customFormat="1" ht="16.2" customHeight="1" thickTop="1" thickBot="1" x14ac:dyDescent="0.35">
      <c r="D9" s="125"/>
      <c r="E9" s="864" t="s">
        <v>90</v>
      </c>
      <c r="F9" s="865"/>
      <c r="G9" s="982" t="str">
        <f>UPPER(TYPE.userselected)</f>
        <v>TOTAL</v>
      </c>
      <c r="H9" s="982"/>
      <c r="I9" s="982"/>
      <c r="J9" s="982"/>
      <c r="K9" s="982"/>
      <c r="L9" s="982"/>
      <c r="M9" s="982"/>
      <c r="N9" s="982"/>
      <c r="O9" s="982"/>
      <c r="P9" s="982"/>
      <c r="Q9" s="982"/>
      <c r="R9" s="983"/>
      <c r="S9" s="1007"/>
      <c r="T9" s="1008"/>
      <c r="U9" s="1012"/>
      <c r="V9" s="1013"/>
      <c r="W9" s="1013"/>
      <c r="X9" s="1014"/>
    </row>
    <row r="10" spans="1:25" s="35" customFormat="1" ht="16.2" customHeight="1" thickTop="1" thickBot="1" x14ac:dyDescent="0.35">
      <c r="D10" s="125"/>
      <c r="E10" s="907" t="str">
        <f>REP.highlightup</f>
        <v>An increase of 3% or more</v>
      </c>
      <c r="F10" s="908"/>
      <c r="G10" s="880" t="str">
        <f ca="1">U6&amp;" IN "&amp;IF($A$2=1,"THOUSANDS",IF($A$2=1000,"MILLIONS","BILLIONS"))&amp;" / PERCENTAGE CHANGES"</f>
        <v>VISITOR NUMBERS IN MILLIONS / PERCENTAGE CHANGES</v>
      </c>
      <c r="H10" s="879"/>
      <c r="I10" s="879"/>
      <c r="J10" s="879"/>
      <c r="K10" s="879"/>
      <c r="L10" s="879"/>
      <c r="M10" s="879"/>
      <c r="N10" s="879"/>
      <c r="O10" s="879"/>
      <c r="P10" s="879"/>
      <c r="Q10" s="879"/>
      <c r="R10" s="881"/>
      <c r="S10" s="1002" t="s">
        <v>38</v>
      </c>
      <c r="T10" s="1002" t="s">
        <v>118</v>
      </c>
      <c r="U10" s="1012"/>
      <c r="V10" s="1013"/>
      <c r="W10" s="1013"/>
      <c r="X10" s="1014"/>
    </row>
    <row r="11" spans="1:25" s="35" customFormat="1" ht="16.2" customHeight="1" thickTop="1" thickBot="1" x14ac:dyDescent="0.35">
      <c r="D11" s="125"/>
      <c r="E11" s="918" t="str">
        <f>REP.highlightsame</f>
        <v>Less than 3% change</v>
      </c>
      <c r="F11" s="919"/>
      <c r="G11" s="984" t="s">
        <v>91</v>
      </c>
      <c r="H11" s="985"/>
      <c r="I11" s="986"/>
      <c r="J11" s="987" t="s">
        <v>92</v>
      </c>
      <c r="K11" s="988"/>
      <c r="L11" s="989"/>
      <c r="M11" s="990" t="s">
        <v>93</v>
      </c>
      <c r="N11" s="991"/>
      <c r="O11" s="992"/>
      <c r="P11" s="993" t="s">
        <v>94</v>
      </c>
      <c r="Q11" s="994"/>
      <c r="R11" s="995"/>
      <c r="S11" s="1003"/>
      <c r="T11" s="1003"/>
      <c r="U11" s="1015"/>
      <c r="V11" s="1016"/>
      <c r="W11" s="1016"/>
      <c r="X11" s="1017"/>
    </row>
    <row r="12" spans="1:25" ht="16.2" customHeight="1" thickTop="1" thickBot="1" x14ac:dyDescent="0.35">
      <c r="D12" s="112"/>
      <c r="E12" s="899" t="str">
        <f>REP.highlightdown</f>
        <v>A Fall of 3% or more</v>
      </c>
      <c r="F12" s="900"/>
      <c r="G12" s="184" t="s">
        <v>26</v>
      </c>
      <c r="H12" s="184" t="s">
        <v>27</v>
      </c>
      <c r="I12" s="184" t="s">
        <v>28</v>
      </c>
      <c r="J12" s="185" t="s">
        <v>29</v>
      </c>
      <c r="K12" s="185" t="s">
        <v>30</v>
      </c>
      <c r="L12" s="185" t="s">
        <v>31</v>
      </c>
      <c r="M12" s="186" t="s">
        <v>32</v>
      </c>
      <c r="N12" s="186" t="s">
        <v>33</v>
      </c>
      <c r="O12" s="186" t="s">
        <v>34</v>
      </c>
      <c r="P12" s="187" t="s">
        <v>35</v>
      </c>
      <c r="Q12" s="187" t="s">
        <v>36</v>
      </c>
      <c r="R12" s="187" t="s">
        <v>37</v>
      </c>
      <c r="S12" s="1004"/>
      <c r="T12" s="1004"/>
      <c r="U12" s="188" t="s">
        <v>91</v>
      </c>
      <c r="V12" s="189" t="s">
        <v>92</v>
      </c>
      <c r="W12" s="190" t="s">
        <v>93</v>
      </c>
      <c r="X12" s="191" t="s">
        <v>94</v>
      </c>
    </row>
    <row r="13" spans="1:25" ht="16.2" customHeight="1" thickTop="1" thickBot="1" x14ac:dyDescent="0.35">
      <c r="D13" s="112"/>
      <c r="E13" s="980" t="str">
        <f>"% Change "&amp;MIN(REP.yearsrange)&amp;" to "&amp;MAX(REP.yearsrange)</f>
        <v>% Change 2011 to 2022</v>
      </c>
      <c r="F13" s="980"/>
      <c r="G13" s="135">
        <f ca="1">IFERROR(INDEX(G$16:G$27,MATCH(MAX(REP.yearsrange),$E$16:$E$27,0))/INDEX(G$16:G$27,MATCH(MIN(REP.yearsrange),$E$16:$E$27,0))-1,"")</f>
        <v>0.23632395607865964</v>
      </c>
      <c r="H13" s="135">
        <f ca="1">IFERROR(INDEX(H$16:H$27,MATCH(MAX(REP.yearsrange),$E$16:$E$27,0))/INDEX(H$16:H$27,MATCH(MIN(REP.yearsrange),$E$16:$E$27,0))-1,"")</f>
        <v>9.5029911753443885E-2</v>
      </c>
      <c r="I13" s="135">
        <f ca="1">IFERROR(INDEX(I$16:I$27,MATCH(MAX(REP.yearsrange),$E$16:$E$27,0))/INDEX(I$16:I$27,MATCH(MIN(REP.yearsrange),$E$16:$E$27,0))-1,"")</f>
        <v>0.72417842416604006</v>
      </c>
      <c r="J13" s="135">
        <f ca="1">IFERROR(INDEX(J$16:J$27,MATCH(MAX(REP.yearsrange),$E$16:$E$27,0))/INDEX(J$16:J$27,MATCH(MIN(REP.yearsrange),$E$16:$E$27,0))-1,"")</f>
        <v>-5.4068084566784802E-2</v>
      </c>
      <c r="K13" s="135">
        <f ca="1">IFERROR(INDEX(K$16:K$27,MATCH(MAX(REP.yearsrange),$E$16:$E$27,0))/INDEX(K$16:K$27,MATCH(MIN(REP.yearsrange),$E$16:$E$27,0))-1,"")</f>
        <v>0.10167802962795802</v>
      </c>
      <c r="L13" s="135">
        <f ca="1">IFERROR(INDEX(L$16:L$27,MATCH(MAX(REP.yearsrange),$E$16:$E$27,0))/INDEX(L$16:L$27,MATCH(MIN(REP.yearsrange),$E$16:$E$27,0))-1,"")</f>
        <v>9.8042960701839821E-2</v>
      </c>
      <c r="M13" s="135">
        <f ca="1">IFERROR(INDEX(M$16:M$27,MATCH(MAX(REP.yearsrange),$E$16:$E$27,0))/INDEX(M$16:M$27,MATCH(MIN(REP.yearsrange),$E$16:$E$27,0))-1,"")</f>
        <v>0.16101462694191593</v>
      </c>
      <c r="N13" s="135">
        <f ca="1">IFERROR(INDEX(N$16:N$27,MATCH(MAX(REP.yearsrange),$E$16:$E$27,0))/INDEX(N$16:N$27,MATCH(MIN(REP.yearsrange),$E$16:$E$27,0))-1,"")</f>
        <v>0.19233509287479267</v>
      </c>
      <c r="O13" s="135">
        <f ca="1">IFERROR(INDEX(O$16:O$27,MATCH(MAX(REP.yearsrange),$E$16:$E$27,0))/INDEX(O$16:O$27,MATCH(MIN(REP.yearsrange),$E$16:$E$27,0))-1,"")</f>
        <v>9.7164205293749584E-2</v>
      </c>
      <c r="P13" s="135">
        <f ca="1">IFERROR(INDEX(P$16:P$27,MATCH(MAX(REP.yearsrange),$E$16:$E$27,0))/INDEX(P$16:P$27,MATCH(MIN(REP.yearsrange),$E$16:$E$27,0))-1,"")</f>
        <v>0.12852472506441481</v>
      </c>
      <c r="Q13" s="135">
        <f ca="1">IFERROR(INDEX(Q$16:Q$27,MATCH(MAX(REP.yearsrange),$E$16:$E$27,0))/INDEX(Q$16:Q$27,MATCH(MIN(REP.yearsrange),$E$16:$E$27,0))-1,"")</f>
        <v>0.2625833174764669</v>
      </c>
      <c r="R13" s="135">
        <f ca="1">IFERROR(INDEX(R$16:R$27,MATCH(MAX(REP.yearsrange),$E$16:$E$27,0))/INDEX(R$16:R$27,MATCH(MIN(REP.yearsrange),$E$16:$E$27,0))-1,"")</f>
        <v>0.16946900634730233</v>
      </c>
      <c r="S13" s="135">
        <f ca="1">IFERROR(INDEX(S$16:S$27,MATCH(MAX(REP.yearsrange),$E$16:$E$27,0))/INDEX(S$16:S$27,MATCH(MIN(REP.yearsrange),$E$16:$E$27,0))-1,"")</f>
        <v>0.15512705745922784</v>
      </c>
      <c r="T13" s="981" t="str">
        <f>"Annual"&amp;CHAR(10)&amp;"Change"</f>
        <v>Annual
Change</v>
      </c>
      <c r="U13" s="135">
        <f ca="1">IFERROR(INDEX(U$16:U$27,MATCH(MAX(REP.yearsrange),$E$16:$E$27,0))/INDEX(U$16:U$27,MATCH(MIN(REP.yearsrange),$E$16:$E$27,0))-1,"")</f>
        <v>0.39558441620252771</v>
      </c>
      <c r="V13" s="135">
        <f ca="1">IFERROR(INDEX(V$16:V$27,MATCH(MAX(REP.yearsrange),$E$16:$E$27,0))/INDEX(V$16:V$27,MATCH(MIN(REP.yearsrange),$E$16:$E$27,0))-1,"")</f>
        <v>4.5863267416294651E-2</v>
      </c>
      <c r="W13" s="135">
        <f ca="1">IFERROR(INDEX(W$16:W$27,MATCH(MAX(REP.yearsrange),$E$16:$E$27,0))/INDEX(W$16:W$27,MATCH(MIN(REP.yearsrange),$E$16:$E$27,0))-1,"")</f>
        <v>0.15837649111720964</v>
      </c>
      <c r="X13" s="135">
        <f ca="1">IFERROR(INDEX(X$16:X$27,MATCH(MAX(REP.yearsrange),$E$16:$E$27,0))/INDEX(X$16:X$27,MATCH(MIN(REP.yearsrange),$E$16:$E$27,0))-1,"")</f>
        <v>0.17420721307774922</v>
      </c>
    </row>
    <row r="14" spans="1:25" ht="16.2" customHeight="1" thickTop="1" thickBot="1" x14ac:dyDescent="0.35">
      <c r="D14" s="112"/>
      <c r="E14" s="980" t="str">
        <f>"% Change "&amp;INDEX(REP.yearsrange,COUNT(REP.yearsrange)-1)&amp;" to "&amp;MAX(REP.yearsrange)</f>
        <v>% Change 2021 to 2022</v>
      </c>
      <c r="F14" s="980"/>
      <c r="G14" s="135">
        <f ca="1">IFERROR(INDEX(G$16:G$27,MATCH(MAX(REP.yearsrange),$E$16:$E$27,0))/INDEX(G$16:G$27,MATCH(INDEX(REP.yearsrange,COUNT(REP.yearsrange)-1),$E$16:$E$27,0))-1,"")</f>
        <v>1330.1991044537917</v>
      </c>
      <c r="H14" s="135">
        <f ca="1">IFERROR(INDEX(H$16:H$27,MATCH(MAX(REP.yearsrange),$E$16:$E$27,0))/INDEX(H$16:H$27,MATCH(INDEX(REP.yearsrange,COUNT(REP.yearsrange)-1),$E$16:$E$27,0))-1,"")</f>
        <v>1774.8047542445611</v>
      </c>
      <c r="I14" s="135">
        <f ca="1">IFERROR(INDEX(I$16:I$27,MATCH(MAX(REP.yearsrange),$E$16:$E$27,0))/INDEX(I$16:I$27,MATCH(INDEX(REP.yearsrange,COUNT(REP.yearsrange)-1),$E$16:$E$27,0))-1,"")</f>
        <v>4.2017268217639128</v>
      </c>
      <c r="J14" s="135">
        <f ca="1">IFERROR(INDEX(J$16:J$27,MATCH(MAX(REP.yearsrange),$E$16:$E$27,0))/INDEX(J$16:J$27,MATCH(INDEX(REP.yearsrange,COUNT(REP.yearsrange)-1),$E$16:$E$27,0))-1,"")</f>
        <v>0.56842380246869029</v>
      </c>
      <c r="K14" s="135">
        <f ca="1">IFERROR(INDEX(K$16:K$27,MATCH(MAX(REP.yearsrange),$E$16:$E$27,0))/INDEX(K$16:K$27,MATCH(INDEX(REP.yearsrange,COUNT(REP.yearsrange)-1),$E$16:$E$27,0))-1,"")</f>
        <v>0.45765327999664795</v>
      </c>
      <c r="L14" s="135">
        <f ca="1">IFERROR(INDEX(L$16:L$27,MATCH(MAX(REP.yearsrange),$E$16:$E$27,0))/INDEX(L$16:L$27,MATCH(INDEX(REP.yearsrange,COUNT(REP.yearsrange)-1),$E$16:$E$27,0))-1,"")</f>
        <v>0.17546996125760028</v>
      </c>
      <c r="M14" s="135">
        <f ca="1">IFERROR(INDEX(M$16:M$27,MATCH(MAX(REP.yearsrange),$E$16:$E$27,0))/INDEX(M$16:M$27,MATCH(INDEX(REP.yearsrange,COUNT(REP.yearsrange)-1),$E$16:$E$27,0))-1,"")</f>
        <v>0.11206218374549848</v>
      </c>
      <c r="N14" s="135">
        <f ca="1">IFERROR(INDEX(N$16:N$27,MATCH(MAX(REP.yearsrange),$E$16:$E$27,0))/INDEX(N$16:N$27,MATCH(INDEX(REP.yearsrange,COUNT(REP.yearsrange)-1),$E$16:$E$27,0))-1,"")</f>
        <v>-1.4965843163091685E-3</v>
      </c>
      <c r="O14" s="135">
        <f ca="1">IFERROR(INDEX(O$16:O$27,MATCH(MAX(REP.yearsrange),$E$16:$E$27,0))/INDEX(O$16:O$27,MATCH(INDEX(REP.yearsrange,COUNT(REP.yearsrange)-1),$E$16:$E$27,0))-1,"")</f>
        <v>-9.8054642824526916E-2</v>
      </c>
      <c r="P14" s="135">
        <f ca="1">IFERROR(INDEX(P$16:P$27,MATCH(MAX(REP.yearsrange),$E$16:$E$27,0))/INDEX(P$16:P$27,MATCH(INDEX(REP.yearsrange,COUNT(REP.yearsrange)-1),$E$16:$E$27,0))-1,"")</f>
        <v>-6.268660088971123E-2</v>
      </c>
      <c r="Q14" s="135">
        <f ca="1">IFERROR(INDEX(Q$16:Q$27,MATCH(MAX(REP.yearsrange),$E$16:$E$27,0))/INDEX(Q$16:Q$27,MATCH(INDEX(REP.yearsrange,COUNT(REP.yearsrange)-1),$E$16:$E$27,0))-1,"")</f>
        <v>9.9546177131375702E-2</v>
      </c>
      <c r="R14" s="135">
        <f ca="1">IFERROR(INDEX(R$16:R$27,MATCH(MAX(REP.yearsrange),$E$16:$E$27,0))/INDEX(R$16:R$27,MATCH(INDEX(REP.yearsrange,COUNT(REP.yearsrange)-1),$E$16:$E$27,0))-1,"")</f>
        <v>7.4172203523022562E-2</v>
      </c>
      <c r="S14" s="135">
        <f ca="1">IFERROR(INDEX(S$16:S$27,MATCH(MAX(REP.yearsrange),$E$16:$E$27,0))/INDEX(S$16:S$27,MATCH(INDEX(REP.yearsrange,COUNT(REP.yearsrange)-1),$E$16:$E$27,0))-1,"")</f>
        <v>0.29259715284603161</v>
      </c>
      <c r="T14" s="981"/>
      <c r="U14" s="135">
        <f ca="1">IFERROR(INDEX(U$16:U$27,MATCH(MAX(REP.yearsrange),$E$16:$E$27,0))/INDEX(U$16:U$27,MATCH(INDEX(REP.yearsrange,COUNT(REP.yearsrange)-1),$E$16:$E$27,0))-1,"")</f>
        <v>9.0507140692912671</v>
      </c>
      <c r="V14" s="135">
        <f ca="1">IFERROR(INDEX(V$16:V$27,MATCH(MAX(REP.yearsrange),$E$16:$E$27,0))/INDEX(V$16:V$27,MATCH(INDEX(REP.yearsrange,COUNT(REP.yearsrange)-1),$E$16:$E$27,0))-1,"")</f>
        <v>0.36813988129163411</v>
      </c>
      <c r="W14" s="135">
        <f ca="1">IFERROR(INDEX(W$16:W$27,MATCH(MAX(REP.yearsrange),$E$16:$E$27,0))/INDEX(W$16:W$27,MATCH(INDEX(REP.yearsrange,COUNT(REP.yearsrange)-1),$E$16:$E$27,0))-1,"")</f>
        <v>1.0379776973909349E-2</v>
      </c>
      <c r="X14" s="135">
        <f ca="1">IFERROR(INDEX(X$16:X$27,MATCH(MAX(REP.yearsrange),$E$16:$E$27,0))/INDEX(X$16:X$27,MATCH(INDEX(REP.yearsrange,COUNT(REP.yearsrange)-1),$E$16:$E$27,0))-1,"")</f>
        <v>8.3892808217500558E-3</v>
      </c>
    </row>
    <row r="15" spans="1:25" ht="16.2" customHeight="1" thickTop="1" thickBot="1" x14ac:dyDescent="0.35">
      <c r="D15" s="112"/>
      <c r="E15" s="980" t="s">
        <v>116</v>
      </c>
      <c r="F15" s="980"/>
      <c r="G15" s="135">
        <f ca="1">IFERROR(G13/(MAX(REP.yearsrange)-MIN(REP.yearsrange)),"")</f>
        <v>2.1483996007150875E-2</v>
      </c>
      <c r="H15" s="135">
        <f ca="1">IFERROR(H13/(MAX(REP.yearsrange)-MIN(REP.yearsrange)),"")</f>
        <v>8.6390828866767175E-3</v>
      </c>
      <c r="I15" s="135">
        <f ca="1">IFERROR(I13/(MAX(REP.yearsrange)-MIN(REP.yearsrange)),"")</f>
        <v>6.5834402196912736E-2</v>
      </c>
      <c r="J15" s="135">
        <f ca="1">IFERROR(J13/(MAX(REP.yearsrange)-MIN(REP.yearsrange)),"")</f>
        <v>-4.9152804151622546E-3</v>
      </c>
      <c r="K15" s="135">
        <f ca="1">IFERROR(K13/(MAX(REP.yearsrange)-MIN(REP.yearsrange)),"")</f>
        <v>9.2434572389052741E-3</v>
      </c>
      <c r="L15" s="135">
        <f ca="1">IFERROR(L13/(MAX(REP.yearsrange)-MIN(REP.yearsrange)),"")</f>
        <v>8.9129964274399839E-3</v>
      </c>
      <c r="M15" s="135">
        <f ca="1">IFERROR(M13/(MAX(REP.yearsrange)-MIN(REP.yearsrange)),"")</f>
        <v>1.4637693358355993E-2</v>
      </c>
      <c r="N15" s="135">
        <f ca="1">IFERROR(N13/(MAX(REP.yearsrange)-MIN(REP.yearsrange)),"")</f>
        <v>1.7485008443162971E-2</v>
      </c>
      <c r="O15" s="135">
        <f ca="1">IFERROR(O13/(MAX(REP.yearsrange)-MIN(REP.yearsrange)),"")</f>
        <v>8.8331095721590532E-3</v>
      </c>
      <c r="P15" s="135">
        <f ca="1">IFERROR(P13/(MAX(REP.yearsrange)-MIN(REP.yearsrange)),"")</f>
        <v>1.1684065914946801E-2</v>
      </c>
      <c r="Q15" s="135">
        <f ca="1">IFERROR(Q13/(MAX(REP.yearsrange)-MIN(REP.yearsrange)),"")</f>
        <v>2.387121067967881E-2</v>
      </c>
      <c r="R15" s="135">
        <f ca="1">IFERROR(R13/(MAX(REP.yearsrange)-MIN(REP.yearsrange)),"")</f>
        <v>1.5406273304300212E-2</v>
      </c>
      <c r="S15" s="135">
        <f ca="1">IFERROR(S13/(MAX(REP.yearsrange)-MIN(REP.yearsrange)),"")</f>
        <v>1.4102459769020713E-2</v>
      </c>
      <c r="T15" s="981"/>
      <c r="U15" s="135">
        <f ca="1">IFERROR(U13/(MAX(REP.yearsrange)-MIN(REP.yearsrange)),"")</f>
        <v>3.5962219654775245E-2</v>
      </c>
      <c r="V15" s="135">
        <f ca="1">IFERROR(V13/(MAX(REP.yearsrange)-MIN(REP.yearsrange)),"")</f>
        <v>4.169387946935877E-3</v>
      </c>
      <c r="W15" s="135">
        <f ca="1">IFERROR(W13/(MAX(REP.yearsrange)-MIN(REP.yearsrange)),"")</f>
        <v>1.4397862828837239E-2</v>
      </c>
      <c r="X15" s="135">
        <f ca="1">IFERROR(X13/(MAX(REP.yearsrange)-MIN(REP.yearsrange)),"")</f>
        <v>1.5837019370704475E-2</v>
      </c>
    </row>
    <row r="16" spans="1:25" ht="16.2" customHeight="1" thickTop="1" thickBot="1" x14ac:dyDescent="0.35">
      <c r="D16" s="112"/>
      <c r="E16" s="193">
        <f t="array" ref="E16:E27">INDEX(REP.yearsrange,REP.yearnos)</f>
        <v>2011</v>
      </c>
      <c r="F16" s="194" t="str">
        <f ca="1">IF($A$2=1,"000s",IF(A2=1000,"M","Bn"))</f>
        <v>M</v>
      </c>
      <c r="G16" s="596">
        <f t="array" aca="1" ref="G16:G27" ca="1">TN.MONTHLYDATA</f>
        <v>0.93517434567871083</v>
      </c>
      <c r="H16" s="596">
        <f t="array" aca="1" ref="H16:H27" ca="1">TN.MONTHLYDATA</f>
        <v>1.0988210956211393</v>
      </c>
      <c r="I16" s="596">
        <f t="array" aca="1" ref="I16:I27" ca="1">TN.MONTHLYDATA</f>
        <v>1.4583099960686128</v>
      </c>
      <c r="J16" s="597">
        <f t="array" aca="1" ref="J16:J27" ca="1">TN.MONTHLYDATA</f>
        <v>3.0561583348904811</v>
      </c>
      <c r="K16" s="597">
        <f t="array" aca="1" ref="K16:K27" ca="1">TN.MONTHLYDATA</f>
        <v>2.6299992229908744</v>
      </c>
      <c r="L16" s="597">
        <f t="array" aca="1" ref="L16:L27" ca="1">TN.MONTHLYDATA</f>
        <v>3.0397505819722275</v>
      </c>
      <c r="M16" s="598">
        <f t="array" aca="1" ref="M16:M27" ca="1">TN.MONTHLYDATA</f>
        <v>3.6737605094585102</v>
      </c>
      <c r="N16" s="598">
        <f t="array" aca="1" ref="N16:N27" ca="1">TN.MONTHLYDATA</f>
        <v>4.2253241285718124</v>
      </c>
      <c r="O16" s="598">
        <f t="array" aca="1" ref="O16:O27" ca="1">TN.MONTHLYDATA</f>
        <v>2.5024057920667255</v>
      </c>
      <c r="P16" s="599">
        <f t="array" aca="1" ref="P16:P27" ca="1">TN.MONTHLYDATA</f>
        <v>2.1510215146617875</v>
      </c>
      <c r="Q16" s="599">
        <f t="array" aca="1" ref="Q16:Q27" ca="1">TN.MONTHLYDATA</f>
        <v>1.1588749674251368</v>
      </c>
      <c r="R16" s="599">
        <f t="array" aca="1" ref="R16:R27" ca="1">TN.MONTHLYDATA</f>
        <v>0.87645828527861813</v>
      </c>
      <c r="S16" s="600">
        <f t="array" aca="1" ref="S16:S27" ca="1">TN.MONTHLYDATA</f>
        <v>26.80605877468464</v>
      </c>
      <c r="T16" s="981"/>
      <c r="U16" s="596">
        <f ca="1">IF(SUM(G16:I16)=0,"",SUM(G16:I16))</f>
        <v>3.4923054373684628</v>
      </c>
      <c r="V16" s="597">
        <f ca="1">IF(SUM(J16:L16)=0,"",SUM(J16:L16))</f>
        <v>8.7259081398535834</v>
      </c>
      <c r="W16" s="598">
        <f ca="1">IF(SUM(M16:O16)=0,"",SUM(M16:O16))</f>
        <v>10.401490430097049</v>
      </c>
      <c r="X16" s="599">
        <f ca="1">IF(SUM(P16:R16)=0,"",SUM(P16:R16))</f>
        <v>4.1863547673655424</v>
      </c>
      <c r="Y16" s="73"/>
    </row>
    <row r="17" spans="4:24" ht="16.2" customHeight="1" thickTop="1" thickBot="1" x14ac:dyDescent="0.35">
      <c r="D17" s="112"/>
      <c r="E17" s="193">
        <v>2012</v>
      </c>
      <c r="F17" s="194" t="str">
        <f ca="1">$F$16</f>
        <v>M</v>
      </c>
      <c r="G17" s="596">
        <f ca="1"/>
        <v>0.88506998669484738</v>
      </c>
      <c r="H17" s="596">
        <f ca="1"/>
        <v>1.1279987940402039</v>
      </c>
      <c r="I17" s="596">
        <f ca="1"/>
        <v>1.5831677174141825</v>
      </c>
      <c r="J17" s="597">
        <f ca="1"/>
        <v>2.701580417373048</v>
      </c>
      <c r="K17" s="597">
        <f ca="1"/>
        <v>2.5496576359147944</v>
      </c>
      <c r="L17" s="597">
        <f ca="1"/>
        <v>2.9076807607080735</v>
      </c>
      <c r="M17" s="598">
        <f ca="1"/>
        <v>3.6224158793071388</v>
      </c>
      <c r="N17" s="598">
        <f ca="1"/>
        <v>4.126181671590766</v>
      </c>
      <c r="O17" s="598">
        <f ca="1"/>
        <v>2.5040828784086711</v>
      </c>
      <c r="P17" s="599">
        <f ca="1"/>
        <v>2.1375803749062969</v>
      </c>
      <c r="Q17" s="599">
        <f ca="1"/>
        <v>1.1248317237266046</v>
      </c>
      <c r="R17" s="599">
        <f ca="1"/>
        <v>0.92116525328694288</v>
      </c>
      <c r="S17" s="600">
        <f ca="1"/>
        <v>26.191413093371573</v>
      </c>
      <c r="T17" s="195">
        <f ca="1">IFERROR(IF(S17&lt;&gt;0,S17/S16-1,""),"")</f>
        <v>-2.2929356623418773E-2</v>
      </c>
      <c r="U17" s="596">
        <f t="shared" ref="U17:U27" ca="1" si="0">IF(SUM(G17:I17)=0,"",SUM(G17:I17))</f>
        <v>3.5962364981492341</v>
      </c>
      <c r="V17" s="597">
        <f t="shared" ref="V17:V27" ca="1" si="1">IF(SUM(J17:L17)=0,"",SUM(J17:L17))</f>
        <v>8.1589188139959159</v>
      </c>
      <c r="W17" s="598">
        <f t="shared" ref="W17:W27" ca="1" si="2">IF(SUM(M17:O17)=0,"",SUM(M17:O17))</f>
        <v>10.252680429306576</v>
      </c>
      <c r="X17" s="599">
        <f t="shared" ref="X17:X27" ca="1" si="3">IF(SUM(P17:R17)=0,"",SUM(P17:R17))</f>
        <v>4.183577351919844</v>
      </c>
    </row>
    <row r="18" spans="4:24" ht="16.2" customHeight="1" thickTop="1" thickBot="1" x14ac:dyDescent="0.35">
      <c r="D18" s="112"/>
      <c r="E18" s="193">
        <v>2013</v>
      </c>
      <c r="F18" s="194" t="str">
        <f t="shared" ref="F18:F27" ca="1" si="4">$F$16</f>
        <v>M</v>
      </c>
      <c r="G18" s="596">
        <f ca="1"/>
        <v>0.90969149403149396</v>
      </c>
      <c r="H18" s="596">
        <f ca="1"/>
        <v>1.1834357522604133</v>
      </c>
      <c r="I18" s="596">
        <f ca="1"/>
        <v>1.7285155521770323</v>
      </c>
      <c r="J18" s="597">
        <f ca="1"/>
        <v>2.5575314977431831</v>
      </c>
      <c r="K18" s="597">
        <f ca="1"/>
        <v>2.9125225533531207</v>
      </c>
      <c r="L18" s="597">
        <f ca="1"/>
        <v>2.8892881710898517</v>
      </c>
      <c r="M18" s="598">
        <f ca="1"/>
        <v>3.7651676078989529</v>
      </c>
      <c r="N18" s="598">
        <f ca="1"/>
        <v>4.4983363715450775</v>
      </c>
      <c r="O18" s="598">
        <f ca="1"/>
        <v>2.5240734569932992</v>
      </c>
      <c r="P18" s="599">
        <f ca="1"/>
        <v>2.1287385889098842</v>
      </c>
      <c r="Q18" s="599">
        <f ca="1"/>
        <v>1.23795743164047</v>
      </c>
      <c r="R18" s="599">
        <f ca="1"/>
        <v>0.99517300854691426</v>
      </c>
      <c r="S18" s="600">
        <f ca="1"/>
        <v>27.330431486189696</v>
      </c>
      <c r="T18" s="195">
        <f t="shared" ref="T18:T27" ca="1" si="5">IFERROR(IF(S18&lt;&gt;0,S18/S17-1,""),"")</f>
        <v>4.3488237490568293E-2</v>
      </c>
      <c r="U18" s="596">
        <f t="shared" ca="1" si="0"/>
        <v>3.8216427984689396</v>
      </c>
      <c r="V18" s="597">
        <f t="shared" ca="1" si="1"/>
        <v>8.3593422221861555</v>
      </c>
      <c r="W18" s="598">
        <f t="shared" ca="1" si="2"/>
        <v>10.78757743643733</v>
      </c>
      <c r="X18" s="599">
        <f t="shared" ca="1" si="3"/>
        <v>4.361869029097269</v>
      </c>
    </row>
    <row r="19" spans="4:24" ht="16.2" customHeight="1" thickTop="1" thickBot="1" x14ac:dyDescent="0.35">
      <c r="D19" s="112"/>
      <c r="E19" s="193">
        <v>2014</v>
      </c>
      <c r="F19" s="194" t="str">
        <f t="shared" ca="1" si="4"/>
        <v>M</v>
      </c>
      <c r="G19" s="596">
        <f ca="1"/>
        <v>0.92589884025571689</v>
      </c>
      <c r="H19" s="596">
        <f ca="1"/>
        <v>1.2090584421045174</v>
      </c>
      <c r="I19" s="596">
        <f ca="1"/>
        <v>1.8762900744460207</v>
      </c>
      <c r="J19" s="597">
        <f ca="1"/>
        <v>2.8006705687494482</v>
      </c>
      <c r="K19" s="597">
        <f ca="1"/>
        <v>2.9482519923624357</v>
      </c>
      <c r="L19" s="597">
        <f ca="1"/>
        <v>2.871208652915096</v>
      </c>
      <c r="M19" s="598">
        <f ca="1"/>
        <v>3.7435704714314531</v>
      </c>
      <c r="N19" s="598">
        <f ca="1"/>
        <v>4.5680378112948539</v>
      </c>
      <c r="O19" s="598">
        <f ca="1"/>
        <v>2.6005046560529244</v>
      </c>
      <c r="P19" s="599">
        <f ca="1"/>
        <v>2.1797618831706158</v>
      </c>
      <c r="Q19" s="599">
        <f ca="1"/>
        <v>1.2100084273235954</v>
      </c>
      <c r="R19" s="599">
        <f ca="1"/>
        <v>0.97448346633914862</v>
      </c>
      <c r="S19" s="600">
        <f ca="1"/>
        <v>27.907745286445831</v>
      </c>
      <c r="T19" s="195">
        <f t="shared" ca="1" si="5"/>
        <v>2.1123479171847537E-2</v>
      </c>
      <c r="U19" s="596">
        <f t="shared" ca="1" si="0"/>
        <v>4.0112473568062548</v>
      </c>
      <c r="V19" s="597">
        <f t="shared" ca="1" si="1"/>
        <v>8.6201312140269799</v>
      </c>
      <c r="W19" s="598">
        <f t="shared" ca="1" si="2"/>
        <v>10.912112938779233</v>
      </c>
      <c r="X19" s="599">
        <f t="shared" ca="1" si="3"/>
        <v>4.36425377683336</v>
      </c>
    </row>
    <row r="20" spans="4:24" ht="16.2" customHeight="1" thickTop="1" thickBot="1" x14ac:dyDescent="0.35">
      <c r="D20" s="112"/>
      <c r="E20" s="193">
        <v>2015</v>
      </c>
      <c r="F20" s="194" t="str">
        <f t="shared" ca="1" si="4"/>
        <v>M</v>
      </c>
      <c r="G20" s="596">
        <f ca="1"/>
        <v>0.97180448823465804</v>
      </c>
      <c r="H20" s="596">
        <f ca="1"/>
        <v>1.2739391778129348</v>
      </c>
      <c r="I20" s="596">
        <f ca="1"/>
        <v>1.9510527255231587</v>
      </c>
      <c r="J20" s="597">
        <f ca="1"/>
        <v>2.8904586491015198</v>
      </c>
      <c r="K20" s="597">
        <f ca="1"/>
        <v>3.0499869127496901</v>
      </c>
      <c r="L20" s="597">
        <f ca="1"/>
        <v>2.9617260049105898</v>
      </c>
      <c r="M20" s="598">
        <f ca="1"/>
        <v>3.9384639890596187</v>
      </c>
      <c r="N20" s="598">
        <f ca="1"/>
        <v>4.7771879159428012</v>
      </c>
      <c r="O20" s="598">
        <f ca="1"/>
        <v>2.630451429144085</v>
      </c>
      <c r="P20" s="599">
        <f ca="1"/>
        <v>2.3159001833582611</v>
      </c>
      <c r="Q20" s="599">
        <f ca="1"/>
        <v>1.3198468496529372</v>
      </c>
      <c r="R20" s="599">
        <f ca="1"/>
        <v>0.99982543513875166</v>
      </c>
      <c r="S20" s="600">
        <f ca="1"/>
        <v>29.080643760629009</v>
      </c>
      <c r="T20" s="195">
        <f t="shared" ca="1" si="5"/>
        <v>4.2027704572494828E-2</v>
      </c>
      <c r="U20" s="596">
        <f t="shared" ca="1" si="0"/>
        <v>4.1967963915707518</v>
      </c>
      <c r="V20" s="597">
        <f t="shared" ca="1" si="1"/>
        <v>8.9021715667617993</v>
      </c>
      <c r="W20" s="598">
        <f t="shared" ca="1" si="2"/>
        <v>11.346103334146505</v>
      </c>
      <c r="X20" s="599">
        <f t="shared" ca="1" si="3"/>
        <v>4.6355724681499506</v>
      </c>
    </row>
    <row r="21" spans="4:24" ht="16.2" customHeight="1" thickTop="1" thickBot="1" x14ac:dyDescent="0.35">
      <c r="D21" s="112"/>
      <c r="E21" s="193">
        <v>2016</v>
      </c>
      <c r="F21" s="194" t="str">
        <f t="shared" ca="1" si="4"/>
        <v>M</v>
      </c>
      <c r="G21" s="596">
        <f ca="1"/>
        <v>0.9540706887142959</v>
      </c>
      <c r="H21" s="596">
        <f ca="1"/>
        <v>1.2162268741840667</v>
      </c>
      <c r="I21" s="596">
        <f ca="1"/>
        <v>2.377425660879803</v>
      </c>
      <c r="J21" s="597">
        <f ca="1"/>
        <v>2.6238181907402107</v>
      </c>
      <c r="K21" s="597">
        <f ca="1"/>
        <v>2.8645071562363142</v>
      </c>
      <c r="L21" s="597">
        <f ca="1"/>
        <v>3.0962638840026049</v>
      </c>
      <c r="M21" s="598">
        <f ca="1"/>
        <v>3.9758508056293302</v>
      </c>
      <c r="N21" s="598">
        <f ca="1"/>
        <v>4.8672964826836607</v>
      </c>
      <c r="O21" s="598">
        <f ca="1"/>
        <v>2.7023106392377585</v>
      </c>
      <c r="P21" s="599">
        <f ca="1"/>
        <v>2.2374063991903039</v>
      </c>
      <c r="Q21" s="599">
        <f ca="1"/>
        <v>1.3519920442048883</v>
      </c>
      <c r="R21" s="599">
        <f ca="1"/>
        <v>1.0715000868381221</v>
      </c>
      <c r="S21" s="600">
        <f ca="1"/>
        <v>29.338668912541362</v>
      </c>
      <c r="T21" s="195">
        <f t="shared" ca="1" si="5"/>
        <v>8.8727455291646162E-3</v>
      </c>
      <c r="U21" s="596">
        <f t="shared" ca="1" si="0"/>
        <v>4.5477232237781653</v>
      </c>
      <c r="V21" s="597">
        <f t="shared" ca="1" si="1"/>
        <v>8.5845892309791303</v>
      </c>
      <c r="W21" s="598">
        <f t="shared" ca="1" si="2"/>
        <v>11.54545792755075</v>
      </c>
      <c r="X21" s="599">
        <f t="shared" ca="1" si="3"/>
        <v>4.6608985302333146</v>
      </c>
    </row>
    <row r="22" spans="4:24" ht="16.2" customHeight="1" thickTop="1" thickBot="1" x14ac:dyDescent="0.35">
      <c r="D22" s="112"/>
      <c r="E22" s="193">
        <v>2017</v>
      </c>
      <c r="F22" s="194" t="str">
        <f t="shared" ca="1" si="4"/>
        <v>M</v>
      </c>
      <c r="G22" s="596">
        <f ca="1"/>
        <v>1.0129643093508789</v>
      </c>
      <c r="H22" s="596">
        <f ca="1"/>
        <v>1.2774688684435733</v>
      </c>
      <c r="I22" s="596">
        <f ca="1"/>
        <v>2.155202514490671</v>
      </c>
      <c r="J22" s="597">
        <f ca="1"/>
        <v>3.0959631681047814</v>
      </c>
      <c r="K22" s="597">
        <f ca="1"/>
        <v>2.9489551875779196</v>
      </c>
      <c r="L22" s="597">
        <f ca="1"/>
        <v>3.1039830429526374</v>
      </c>
      <c r="M22" s="598">
        <f ca="1"/>
        <v>4.0479140268813865</v>
      </c>
      <c r="N22" s="598">
        <f ca="1"/>
        <v>4.7877681204268914</v>
      </c>
      <c r="O22" s="598">
        <f ca="1"/>
        <v>2.6904011847146316</v>
      </c>
      <c r="P22" s="599">
        <f ca="1"/>
        <v>2.2328506652405569</v>
      </c>
      <c r="Q22" s="599">
        <f ca="1"/>
        <v>1.3484094715149513</v>
      </c>
      <c r="R22" s="599">
        <f ca="1"/>
        <v>1.0861030902026574</v>
      </c>
      <c r="S22" s="600">
        <f ca="1"/>
        <v>29.787983649901538</v>
      </c>
      <c r="T22" s="195">
        <f t="shared" ca="1" si="5"/>
        <v>1.531476218977712E-2</v>
      </c>
      <c r="U22" s="596">
        <f t="shared" ca="1" si="0"/>
        <v>4.4456356922851228</v>
      </c>
      <c r="V22" s="597">
        <f t="shared" ca="1" si="1"/>
        <v>9.1489013986353385</v>
      </c>
      <c r="W22" s="598">
        <f t="shared" ca="1" si="2"/>
        <v>11.52608333202291</v>
      </c>
      <c r="X22" s="599">
        <f t="shared" ca="1" si="3"/>
        <v>4.667363226958166</v>
      </c>
    </row>
    <row r="23" spans="4:24" ht="16.2" customHeight="1" thickTop="1" thickBot="1" x14ac:dyDescent="0.35">
      <c r="D23" s="112"/>
      <c r="E23" s="193">
        <v>2018</v>
      </c>
      <c r="F23" s="194" t="str">
        <f t="shared" ca="1" si="4"/>
        <v>M</v>
      </c>
      <c r="G23" s="596">
        <f ca="1"/>
        <v>1.0015838598323699</v>
      </c>
      <c r="H23" s="596">
        <f ca="1"/>
        <v>1.298625200466256</v>
      </c>
      <c r="I23" s="596">
        <f ca="1"/>
        <v>2.2029261297605554</v>
      </c>
      <c r="J23" s="597">
        <f ca="1"/>
        <v>2.7392830056875135</v>
      </c>
      <c r="K23" s="597">
        <f ca="1"/>
        <v>3.1145935632362707</v>
      </c>
      <c r="L23" s="597">
        <f ca="1"/>
        <v>3.3441495013459432</v>
      </c>
      <c r="M23" s="598">
        <f ca="1"/>
        <v>4.1157763090742616</v>
      </c>
      <c r="N23" s="598">
        <f ca="1"/>
        <v>4.8110966400358226</v>
      </c>
      <c r="O23" s="598">
        <f ca="1"/>
        <v>2.8122903173642402</v>
      </c>
      <c r="P23" s="599">
        <f ca="1"/>
        <v>2.3552626794851741</v>
      </c>
      <c r="Q23" s="599">
        <f ca="1"/>
        <v>1.4028956769016627</v>
      </c>
      <c r="R23" s="599">
        <f ca="1"/>
        <v>1.0662063499755061</v>
      </c>
      <c r="S23" s="600">
        <f ca="1"/>
        <v>30.26468923316558</v>
      </c>
      <c r="T23" s="195">
        <f t="shared" ca="1" si="5"/>
        <v>1.600328470925616E-2</v>
      </c>
      <c r="U23" s="596">
        <f t="shared" ca="1" si="0"/>
        <v>4.5031351900591812</v>
      </c>
      <c r="V23" s="597">
        <f t="shared" ca="1" si="1"/>
        <v>9.1980260702697265</v>
      </c>
      <c r="W23" s="598">
        <f t="shared" ca="1" si="2"/>
        <v>11.739163266474325</v>
      </c>
      <c r="X23" s="599">
        <f t="shared" ca="1" si="3"/>
        <v>4.8243647063623429</v>
      </c>
    </row>
    <row r="24" spans="4:24" ht="16.2" customHeight="1" thickTop="1" thickBot="1" x14ac:dyDescent="0.35">
      <c r="D24" s="112"/>
      <c r="E24" s="193">
        <v>2019</v>
      </c>
      <c r="F24" s="194" t="str">
        <f t="shared" ca="1" si="4"/>
        <v>M</v>
      </c>
      <c r="G24" s="596">
        <f ca="1"/>
        <v>1.1040467021801996</v>
      </c>
      <c r="H24" s="596">
        <f ca="1"/>
        <v>1.3773341944340438</v>
      </c>
      <c r="I24" s="596">
        <f ca="1"/>
        <v>2.250518489253257</v>
      </c>
      <c r="J24" s="597">
        <f ca="1"/>
        <v>3.0323394898220712</v>
      </c>
      <c r="K24" s="597">
        <f ca="1"/>
        <v>3.1833988072862831</v>
      </c>
      <c r="L24" s="597">
        <f ca="1"/>
        <v>3.2123918858500184</v>
      </c>
      <c r="M24" s="598">
        <f ca="1"/>
        <v>4.1260980348032925</v>
      </c>
      <c r="N24" s="598">
        <f ca="1"/>
        <v>4.9094433408861518</v>
      </c>
      <c r="O24" s="598">
        <f ca="1"/>
        <v>2.8668834468552551</v>
      </c>
      <c r="P24" s="599">
        <f ca="1"/>
        <v>2.4343329456444742</v>
      </c>
      <c r="Q24" s="599">
        <f ca="1"/>
        <v>1.4693576622605555</v>
      </c>
      <c r="R24" s="599">
        <f ca="1"/>
        <v>1.1811222336227614</v>
      </c>
      <c r="S24" s="600">
        <f ca="1"/>
        <v>31.147267232898365</v>
      </c>
      <c r="T24" s="195">
        <f t="shared" ca="1" si="5"/>
        <v>2.9161971330127212E-2</v>
      </c>
      <c r="U24" s="596">
        <f t="shared" ca="1" si="0"/>
        <v>4.7318993858675</v>
      </c>
      <c r="V24" s="597">
        <f t="shared" ca="1" si="1"/>
        <v>9.4281301829583732</v>
      </c>
      <c r="W24" s="598">
        <f t="shared" ca="1" si="2"/>
        <v>11.902424822544699</v>
      </c>
      <c r="X24" s="599">
        <f t="shared" ca="1" si="3"/>
        <v>5.0848128415277909</v>
      </c>
    </row>
    <row r="25" spans="4:24" ht="16.2" customHeight="1" thickTop="1" thickBot="1" x14ac:dyDescent="0.35">
      <c r="D25" s="112"/>
      <c r="E25" s="193">
        <v>2020</v>
      </c>
      <c r="F25" s="194" t="str">
        <f t="shared" ca="1" si="4"/>
        <v>M</v>
      </c>
      <c r="G25" s="596">
        <f ca="1"/>
        <v>1.0754375781643462</v>
      </c>
      <c r="H25" s="596">
        <f ca="1"/>
        <v>1.3301607817538239</v>
      </c>
      <c r="I25" s="596">
        <f ca="1"/>
        <v>1.5764864939759922</v>
      </c>
      <c r="J25" s="597">
        <f ca="1"/>
        <v>3.9191412240006572E-2</v>
      </c>
      <c r="K25" s="597">
        <f ca="1"/>
        <v>4.6658650771318304E-2</v>
      </c>
      <c r="L25" s="597">
        <f ca="1"/>
        <v>6.3170418418132562E-2</v>
      </c>
      <c r="M25" s="598">
        <f ca="1"/>
        <v>1.3414338686908858</v>
      </c>
      <c r="N25" s="598">
        <f ca="1"/>
        <v>3.1904624946350277</v>
      </c>
      <c r="O25" s="598">
        <f ca="1"/>
        <v>2.2334493443769534</v>
      </c>
      <c r="P25" s="599">
        <f ca="1"/>
        <v>0.36999143777087545</v>
      </c>
      <c r="Q25" s="599">
        <f ca="1"/>
        <v>0.50968758333412689</v>
      </c>
      <c r="R25" s="599">
        <f ca="1"/>
        <v>0.32449396526954011</v>
      </c>
      <c r="S25" s="600">
        <f ca="1"/>
        <v>12.100624029401027</v>
      </c>
      <c r="T25" s="195">
        <f t="shared" ca="1" si="5"/>
        <v>-0.61150286672276311</v>
      </c>
      <c r="U25" s="596">
        <f t="shared" ca="1" si="0"/>
        <v>3.9820848538941624</v>
      </c>
      <c r="V25" s="597">
        <f t="shared" ca="1" si="1"/>
        <v>0.14902048142945745</v>
      </c>
      <c r="W25" s="598">
        <f t="shared" ca="1" si="2"/>
        <v>6.7653457077028669</v>
      </c>
      <c r="X25" s="599">
        <f t="shared" ca="1" si="3"/>
        <v>1.2041729863745423</v>
      </c>
    </row>
    <row r="26" spans="4:24" ht="16.2" customHeight="1" thickTop="1" thickBot="1" x14ac:dyDescent="0.35">
      <c r="D26" s="112"/>
      <c r="E26" s="193">
        <v>2021</v>
      </c>
      <c r="F26" s="194" t="str">
        <f t="shared" ca="1" si="4"/>
        <v>M</v>
      </c>
      <c r="G26" s="596">
        <f ca="1"/>
        <v>8.6852405684810822E-4</v>
      </c>
      <c r="H26" s="596">
        <f ca="1"/>
        <v>6.7757559748324119E-4</v>
      </c>
      <c r="I26" s="596">
        <f ca="1"/>
        <v>0.48337537074169784</v>
      </c>
      <c r="J26" s="597">
        <f ca="1"/>
        <v>1.8431993336493939</v>
      </c>
      <c r="K26" s="597">
        <f ca="1"/>
        <v>1.9877239681540111</v>
      </c>
      <c r="L26" s="597">
        <f ca="1"/>
        <v>2.8395253293014289</v>
      </c>
      <c r="M26" s="598">
        <f ca="1"/>
        <v>3.8354776825493149</v>
      </c>
      <c r="N26" s="598">
        <f ca="1"/>
        <v>5.0455533332524221</v>
      </c>
      <c r="O26" s="598">
        <f ca="1"/>
        <v>3.0440314818774765</v>
      </c>
      <c r="P26" s="599">
        <f ca="1"/>
        <v>2.5898285095951197</v>
      </c>
      <c r="Q26" s="599">
        <f ca="1"/>
        <v>1.3307091883392896</v>
      </c>
      <c r="R26" s="599">
        <f ca="1"/>
        <v>0.95421460044108974</v>
      </c>
      <c r="S26" s="600">
        <f ca="1"/>
        <v>23.955184897555572</v>
      </c>
      <c r="T26" s="195">
        <f t="shared" ca="1" si="5"/>
        <v>0.97966525026737306</v>
      </c>
      <c r="U26" s="596">
        <f t="shared" ca="1" si="0"/>
        <v>0.48492147039602918</v>
      </c>
      <c r="V26" s="597">
        <f t="shared" ca="1" si="1"/>
        <v>6.6704486311048337</v>
      </c>
      <c r="W26" s="598">
        <f t="shared" ca="1" si="2"/>
        <v>11.925062497679214</v>
      </c>
      <c r="X26" s="599">
        <f t="shared" ca="1" si="3"/>
        <v>4.8747522983754994</v>
      </c>
    </row>
    <row r="27" spans="4:24" ht="16.2" customHeight="1" thickTop="1" thickBot="1" x14ac:dyDescent="0.35">
      <c r="D27" s="112"/>
      <c r="E27" s="193">
        <v>2022</v>
      </c>
      <c r="F27" s="194" t="str">
        <f t="shared" ca="1" si="4"/>
        <v>M</v>
      </c>
      <c r="G27" s="596">
        <f ca="1"/>
        <v>1.1561784466727758</v>
      </c>
      <c r="H27" s="596">
        <f ca="1"/>
        <v>1.2032419673708388</v>
      </c>
      <c r="I27" s="596">
        <f ca="1"/>
        <v>2.5143866309671647</v>
      </c>
      <c r="J27" s="597">
        <f ca="1"/>
        <v>2.8909177075901384</v>
      </c>
      <c r="K27" s="597">
        <f ca="1"/>
        <v>2.8974123619076471</v>
      </c>
      <c r="L27" s="597">
        <f ca="1"/>
        <v>3.3377767288239255</v>
      </c>
      <c r="M27" s="598">
        <f ca="1"/>
        <v>4.2652896873629151</v>
      </c>
      <c r="N27" s="598">
        <f ca="1"/>
        <v>5.0380022372667748</v>
      </c>
      <c r="O27" s="598">
        <f ca="1"/>
        <v>2.745550062175365</v>
      </c>
      <c r="P27" s="599">
        <f ca="1"/>
        <v>2.4274809634413348</v>
      </c>
      <c r="Q27" s="599">
        <f ca="1"/>
        <v>1.4631762009120617</v>
      </c>
      <c r="R27" s="599">
        <f ca="1"/>
        <v>1.0249907999896459</v>
      </c>
      <c r="S27" s="600">
        <f ca="1"/>
        <v>30.964403794480585</v>
      </c>
      <c r="T27" s="195">
        <f t="shared" ca="1" si="5"/>
        <v>0.29259715284603161</v>
      </c>
      <c r="U27" s="596">
        <f t="shared" ca="1" si="0"/>
        <v>4.8738070450107793</v>
      </c>
      <c r="V27" s="597">
        <f t="shared" ca="1" si="1"/>
        <v>9.126106798321711</v>
      </c>
      <c r="W27" s="598">
        <f t="shared" ca="1" si="2"/>
        <v>12.048841986805055</v>
      </c>
      <c r="X27" s="599">
        <f t="shared" ca="1" si="3"/>
        <v>4.9156479643430426</v>
      </c>
    </row>
    <row r="28" spans="4:24" ht="16.2" customHeight="1" thickTop="1" thickBot="1" x14ac:dyDescent="0.35">
      <c r="D28" s="112"/>
      <c r="E28" s="880" t="str">
        <f ca="1">$A$1</f>
        <v>VISITOR NUMBERS</v>
      </c>
      <c r="F28" s="879"/>
      <c r="G28" s="879"/>
      <c r="H28" s="879"/>
      <c r="I28" s="879"/>
      <c r="J28" s="879"/>
      <c r="K28" s="879"/>
      <c r="L28" s="879"/>
      <c r="M28" s="879"/>
      <c r="N28" s="879"/>
      <c r="O28" s="879"/>
      <c r="P28" s="879"/>
      <c r="Q28" s="879"/>
      <c r="R28" s="879"/>
      <c r="S28" s="880" t="str">
        <f>UPPER(TYPE.userselected)</f>
        <v>TOTAL</v>
      </c>
      <c r="T28" s="879"/>
      <c r="U28" s="879"/>
      <c r="V28" s="879"/>
      <c r="W28" s="879"/>
      <c r="X28" s="881"/>
    </row>
    <row r="29" spans="4:24" ht="16.2" customHeight="1" thickTop="1" thickBot="1" x14ac:dyDescent="0.35">
      <c r="D29" s="196" t="str">
        <f t="shared" ref="D29:D35" ca="1" si="6">"'"&amp;$A$1&amp;"'!"&amp;CELL("address",G29)&amp;":"&amp;CELL("address",OFFSET(G29,0,YEARSINREP-1))</f>
        <v>'VISITOR NUMBERS'!$G$29:$R$29</v>
      </c>
      <c r="E29" s="937" t="s">
        <v>120</v>
      </c>
      <c r="F29" s="938"/>
      <c r="G29" s="197">
        <f t="array" ref="G29:R29">TRANSPOSE(REP.yearsrange)</f>
        <v>2011</v>
      </c>
      <c r="H29" s="197">
        <v>2012</v>
      </c>
      <c r="I29" s="198">
        <v>2013</v>
      </c>
      <c r="J29" s="198">
        <v>2014</v>
      </c>
      <c r="K29" s="198">
        <v>2015</v>
      </c>
      <c r="L29" s="198">
        <v>2016</v>
      </c>
      <c r="M29" s="198">
        <v>2017</v>
      </c>
      <c r="N29" s="198">
        <v>2018</v>
      </c>
      <c r="O29" s="198">
        <v>2019</v>
      </c>
      <c r="P29" s="198">
        <v>2020</v>
      </c>
      <c r="Q29" s="198">
        <v>2021</v>
      </c>
      <c r="R29" s="198">
        <v>2022</v>
      </c>
      <c r="S29" s="198"/>
      <c r="T29" s="199"/>
      <c r="U29" s="199"/>
      <c r="V29" s="199"/>
      <c r="W29" s="199"/>
      <c r="X29" s="199"/>
    </row>
    <row r="30" spans="4:24" ht="16.2" customHeight="1" thickTop="1" thickBot="1" x14ac:dyDescent="0.35">
      <c r="D30" s="196" t="str">
        <f t="shared" ca="1" si="6"/>
        <v>'VISITOR NUMBERS'!$G$30:$R$30</v>
      </c>
      <c r="E30" s="200" t="str">
        <f>IF(TYPE.userselected="SFR",TYPE.userselected,PROPER(VISTYPE.short))</f>
        <v>Total</v>
      </c>
      <c r="F30" s="194" t="str">
        <f ca="1">$F$16</f>
        <v>M</v>
      </c>
      <c r="G30" s="601">
        <f t="array" ref="G30:R30" ca="1">TN.SHARE_VT_ANN</f>
        <v>26.80605877468464</v>
      </c>
      <c r="H30" s="601">
        <f ca="1"/>
        <v>26.191413093371573</v>
      </c>
      <c r="I30" s="601">
        <f ca="1"/>
        <v>27.330431486189696</v>
      </c>
      <c r="J30" s="601">
        <f ca="1"/>
        <v>27.907745286445831</v>
      </c>
      <c r="K30" s="601">
        <f ca="1"/>
        <v>29.080643760629009</v>
      </c>
      <c r="L30" s="601">
        <f ca="1"/>
        <v>29.338668912541362</v>
      </c>
      <c r="M30" s="601">
        <f ca="1"/>
        <v>29.787983649901538</v>
      </c>
      <c r="N30" s="601">
        <f ca="1"/>
        <v>30.26468923316558</v>
      </c>
      <c r="O30" s="601">
        <f ca="1"/>
        <v>31.147267232898365</v>
      </c>
      <c r="P30" s="601">
        <f ca="1"/>
        <v>12.100624029401027</v>
      </c>
      <c r="Q30" s="601">
        <f ca="1"/>
        <v>23.955184897555572</v>
      </c>
      <c r="R30" s="601">
        <f ca="1"/>
        <v>30.964403794480585</v>
      </c>
      <c r="S30" s="201"/>
      <c r="T30" s="199"/>
      <c r="U30" s="199"/>
      <c r="V30" s="199"/>
      <c r="W30" s="199"/>
      <c r="X30" s="199"/>
    </row>
    <row r="31" spans="4:24" ht="16.2" customHeight="1" thickTop="1" thickBot="1" x14ac:dyDescent="0.35">
      <c r="D31" s="196" t="str">
        <f t="shared" ca="1" si="6"/>
        <v>'VISITOR NUMBERS'!$G$31:$R$31</v>
      </c>
      <c r="E31" s="200" t="s">
        <v>96</v>
      </c>
      <c r="F31" s="194" t="str">
        <f>IF($A$4=1,"000s",IF(A4=1000,"M","Bn"))</f>
        <v>M</v>
      </c>
      <c r="G31" s="602">
        <f t="array" aca="1" ref="G31:R31" ca="1">TN.SHARE_TOTAL_ANN</f>
        <v>26.80605877468464</v>
      </c>
      <c r="H31" s="602">
        <f ca="1"/>
        <v>26.191413093371573</v>
      </c>
      <c r="I31" s="602">
        <f ca="1"/>
        <v>27.330431486189696</v>
      </c>
      <c r="J31" s="602">
        <f ca="1"/>
        <v>27.907745286445831</v>
      </c>
      <c r="K31" s="602">
        <f ca="1"/>
        <v>29.080643760629009</v>
      </c>
      <c r="L31" s="602">
        <f ca="1"/>
        <v>29.338668912541362</v>
      </c>
      <c r="M31" s="602">
        <f ca="1"/>
        <v>29.787983649901538</v>
      </c>
      <c r="N31" s="602">
        <f ca="1"/>
        <v>30.26468923316558</v>
      </c>
      <c r="O31" s="602">
        <f ca="1"/>
        <v>31.147267232898365</v>
      </c>
      <c r="P31" s="602">
        <f ca="1"/>
        <v>12.100624029401027</v>
      </c>
      <c r="Q31" s="602">
        <f ca="1"/>
        <v>23.955184897555572</v>
      </c>
      <c r="R31" s="602">
        <f ca="1"/>
        <v>30.964403794480585</v>
      </c>
      <c r="S31" s="202"/>
      <c r="T31" s="199"/>
      <c r="U31" s="199"/>
      <c r="V31" s="199"/>
      <c r="W31" s="199"/>
      <c r="X31" s="199"/>
    </row>
    <row r="32" spans="4:24" ht="16.2" customHeight="1" thickTop="1" thickBot="1" x14ac:dyDescent="0.35">
      <c r="D32" s="196" t="str">
        <f t="shared" ca="1" si="6"/>
        <v>'VISITOR NUMBERS'!$G$32:$R$32</v>
      </c>
      <c r="E32" s="200" t="s">
        <v>121</v>
      </c>
      <c r="F32" s="194" t="s">
        <v>117</v>
      </c>
      <c r="G32" s="135">
        <f t="array" ref="G32:R32" ca="1">IFERROR((TN.SHARE_VT_ANN*$A$2)/(TN.SHARE_TOTAL_ANN*$A$4),"")</f>
        <v>1</v>
      </c>
      <c r="H32" s="135">
        <f ca="1"/>
        <v>1</v>
      </c>
      <c r="I32" s="135">
        <f ca="1"/>
        <v>1</v>
      </c>
      <c r="J32" s="135">
        <f ca="1"/>
        <v>1</v>
      </c>
      <c r="K32" s="135">
        <f ca="1"/>
        <v>1</v>
      </c>
      <c r="L32" s="135">
        <f ca="1"/>
        <v>1</v>
      </c>
      <c r="M32" s="135">
        <f ca="1"/>
        <v>1</v>
      </c>
      <c r="N32" s="135">
        <f ca="1"/>
        <v>1</v>
      </c>
      <c r="O32" s="135">
        <f ca="1"/>
        <v>1</v>
      </c>
      <c r="P32" s="135">
        <f ca="1"/>
        <v>1</v>
      </c>
      <c r="Q32" s="135">
        <f ca="1"/>
        <v>1</v>
      </c>
      <c r="R32" s="135">
        <f ca="1"/>
        <v>1</v>
      </c>
      <c r="S32" s="135"/>
      <c r="T32" s="199"/>
      <c r="U32" s="199"/>
      <c r="V32" s="199"/>
      <c r="W32" s="199"/>
      <c r="X32" s="199"/>
    </row>
    <row r="33" spans="4:24" ht="16.2" customHeight="1" thickTop="1" thickBot="1" x14ac:dyDescent="0.35">
      <c r="D33" s="196" t="str">
        <f t="shared" ca="1" si="6"/>
        <v>'VISITOR NUMBERS'!$G$33:$R$33</v>
      </c>
      <c r="E33" s="200" t="s">
        <v>122</v>
      </c>
      <c r="F33" s="194" t="s">
        <v>117</v>
      </c>
      <c r="G33" s="195"/>
      <c r="H33" s="135">
        <f ca="1">IFERROR(H32/G32-1,"")</f>
        <v>0</v>
      </c>
      <c r="I33" s="135">
        <f t="shared" ref="I33:R33" ca="1" si="7">IFERROR(I32/H32-1,"")</f>
        <v>0</v>
      </c>
      <c r="J33" s="135">
        <f t="shared" ca="1" si="7"/>
        <v>0</v>
      </c>
      <c r="K33" s="135">
        <f t="shared" ca="1" si="7"/>
        <v>0</v>
      </c>
      <c r="L33" s="135">
        <f t="shared" ca="1" si="7"/>
        <v>0</v>
      </c>
      <c r="M33" s="135">
        <f t="shared" ca="1" si="7"/>
        <v>0</v>
      </c>
      <c r="N33" s="135">
        <f t="shared" ca="1" si="7"/>
        <v>0</v>
      </c>
      <c r="O33" s="135">
        <f t="shared" ca="1" si="7"/>
        <v>0</v>
      </c>
      <c r="P33" s="135">
        <f t="shared" ca="1" si="7"/>
        <v>0</v>
      </c>
      <c r="Q33" s="135">
        <f t="shared" ca="1" si="7"/>
        <v>0</v>
      </c>
      <c r="R33" s="135">
        <f t="shared" ca="1" si="7"/>
        <v>0</v>
      </c>
      <c r="S33" s="135"/>
      <c r="T33" s="199"/>
      <c r="U33" s="199"/>
      <c r="V33" s="199"/>
      <c r="W33" s="199"/>
      <c r="X33" s="199"/>
    </row>
    <row r="34" spans="4:24" ht="16.2" customHeight="1" thickTop="1" thickBot="1" x14ac:dyDescent="0.35">
      <c r="D34" s="196" t="str">
        <f t="shared" ca="1" si="6"/>
        <v>'VISITOR NUMBERS'!$G$34:$R$34</v>
      </c>
      <c r="E34" s="200" t="str">
        <f>"Change in Share from "&amp;MIN(REP.yearsrange)</f>
        <v>Change in Share from 2011</v>
      </c>
      <c r="F34" s="194" t="s">
        <v>117</v>
      </c>
      <c r="G34" s="195"/>
      <c r="H34" s="135">
        <f t="shared" ref="H34:R34" ca="1" si="8">IFERROR(H32/$G$32-1,"")</f>
        <v>0</v>
      </c>
      <c r="I34" s="135">
        <f t="shared" ca="1" si="8"/>
        <v>0</v>
      </c>
      <c r="J34" s="135">
        <f t="shared" ca="1" si="8"/>
        <v>0</v>
      </c>
      <c r="K34" s="135">
        <f t="shared" ca="1" si="8"/>
        <v>0</v>
      </c>
      <c r="L34" s="135">
        <f t="shared" ca="1" si="8"/>
        <v>0</v>
      </c>
      <c r="M34" s="135">
        <f t="shared" ca="1" si="8"/>
        <v>0</v>
      </c>
      <c r="N34" s="135">
        <f t="shared" ca="1" si="8"/>
        <v>0</v>
      </c>
      <c r="O34" s="135">
        <f t="shared" ca="1" si="8"/>
        <v>0</v>
      </c>
      <c r="P34" s="135">
        <f t="shared" ca="1" si="8"/>
        <v>0</v>
      </c>
      <c r="Q34" s="135">
        <f t="shared" ca="1" si="8"/>
        <v>0</v>
      </c>
      <c r="R34" s="135">
        <f t="shared" ca="1" si="8"/>
        <v>0</v>
      </c>
      <c r="S34" s="135"/>
      <c r="T34" s="199"/>
      <c r="U34" s="199"/>
      <c r="V34" s="199"/>
      <c r="W34" s="199"/>
      <c r="X34" s="199"/>
    </row>
    <row r="35" spans="4:24" ht="16.2" customHeight="1" thickTop="1" thickBot="1" x14ac:dyDescent="0.35">
      <c r="D35" s="196" t="str">
        <f t="shared" ca="1" si="6"/>
        <v>'VISITOR NUMBERS'!$G$35:$R$35</v>
      </c>
      <c r="E35" s="200" t="s">
        <v>146</v>
      </c>
      <c r="F35" s="194" t="s">
        <v>117</v>
      </c>
      <c r="G35" s="195"/>
      <c r="H35" s="135">
        <f ca="1">IFERROR(H34/(H$29-$G$29),"")</f>
        <v>0</v>
      </c>
      <c r="I35" s="135">
        <f t="shared" ref="I35:R35" ca="1" si="9">IFERROR(I34/(I$29-$G$29),"")</f>
        <v>0</v>
      </c>
      <c r="J35" s="135">
        <f t="shared" ca="1" si="9"/>
        <v>0</v>
      </c>
      <c r="K35" s="135">
        <f t="shared" ca="1" si="9"/>
        <v>0</v>
      </c>
      <c r="L35" s="135">
        <f t="shared" ca="1" si="9"/>
        <v>0</v>
      </c>
      <c r="M35" s="135">
        <f t="shared" ca="1" si="9"/>
        <v>0</v>
      </c>
      <c r="N35" s="135">
        <f t="shared" ca="1" si="9"/>
        <v>0</v>
      </c>
      <c r="O35" s="135">
        <f t="shared" ca="1" si="9"/>
        <v>0</v>
      </c>
      <c r="P35" s="135">
        <f t="shared" ca="1" si="9"/>
        <v>0</v>
      </c>
      <c r="Q35" s="135">
        <f t="shared" ca="1" si="9"/>
        <v>0</v>
      </c>
      <c r="R35" s="135">
        <f t="shared" ca="1" si="9"/>
        <v>0</v>
      </c>
      <c r="S35" s="135"/>
      <c r="T35" s="199"/>
      <c r="U35" s="199"/>
      <c r="V35" s="199"/>
      <c r="W35" s="199"/>
      <c r="X35" s="199"/>
    </row>
    <row r="36" spans="4:24" ht="16.2" customHeight="1" thickTop="1" thickBot="1" x14ac:dyDescent="0.35">
      <c r="D36" s="196"/>
      <c r="E36" s="663"/>
      <c r="F36" s="267"/>
      <c r="G36" s="195"/>
      <c r="H36" s="135"/>
      <c r="I36" s="135"/>
      <c r="J36" s="135"/>
      <c r="K36" s="135"/>
      <c r="L36" s="135"/>
      <c r="M36" s="135"/>
      <c r="N36" s="135"/>
      <c r="O36" s="135"/>
      <c r="P36" s="135"/>
      <c r="Q36" s="135"/>
      <c r="R36" s="135"/>
      <c r="S36" s="135"/>
      <c r="T36" s="199"/>
      <c r="U36" s="199"/>
      <c r="V36" s="199"/>
      <c r="W36" s="199"/>
      <c r="X36" s="199"/>
    </row>
    <row r="37" spans="4:24" ht="16.2" customHeight="1" thickTop="1" thickBot="1" x14ac:dyDescent="0.35">
      <c r="D37" s="112"/>
      <c r="E37" s="203" t="str">
        <f>IF(COUNT(REP.yearsrange)&lt;MAX(REP.yearnos),"Note: This report caters for a period of up to 12 years. Parts of this page are intentionally left blank to accommodate new data as it becomes available.","")</f>
        <v/>
      </c>
      <c r="F37" s="129"/>
      <c r="G37" s="129"/>
      <c r="H37" s="129"/>
      <c r="I37" s="129"/>
      <c r="J37" s="129"/>
      <c r="K37" s="129"/>
      <c r="L37" s="129"/>
      <c r="M37" s="129"/>
      <c r="N37" s="129"/>
      <c r="O37" s="129"/>
      <c r="P37" s="129"/>
      <c r="Q37" s="129"/>
      <c r="R37" s="129"/>
      <c r="S37" s="199"/>
      <c r="T37" s="199"/>
      <c r="U37" s="199"/>
      <c r="V37" s="199"/>
      <c r="W37" s="199"/>
      <c r="X37" s="199"/>
    </row>
    <row r="38" spans="4:24" s="42"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6sNeWAraqd9K+AZKTMebosce+b6BMSNU/CHjGvcTxPvMn+VN/3DwqVWi1TpYVBXYTc4kTaeVh/UpjfMLp4+3YA==" saltValue="glC6fgOjRTVT8EUB9RXqvA==" spinCount="100000" sheet="1" objects="1" scenarios="1"/>
  <mergeCells count="26">
    <mergeCell ref="E28:R28"/>
    <mergeCell ref="S28:X28"/>
    <mergeCell ref="E29:F29"/>
    <mergeCell ref="E10:F10"/>
    <mergeCell ref="G10:R10"/>
    <mergeCell ref="S10:S12"/>
    <mergeCell ref="T10:T12"/>
    <mergeCell ref="E11:F11"/>
    <mergeCell ref="G11:I11"/>
    <mergeCell ref="J11:L11"/>
    <mergeCell ref="M11:O11"/>
    <mergeCell ref="P11:R11"/>
    <mergeCell ref="E12:F12"/>
    <mergeCell ref="E13:F13"/>
    <mergeCell ref="T13:T16"/>
    <mergeCell ref="E14:F14"/>
    <mergeCell ref="E15:F15"/>
    <mergeCell ref="S6:T7"/>
    <mergeCell ref="U6:X7"/>
    <mergeCell ref="E8:F8"/>
    <mergeCell ref="G8:R8"/>
    <mergeCell ref="S8:T9"/>
    <mergeCell ref="U8:X11"/>
    <mergeCell ref="E9:F9"/>
    <mergeCell ref="G9:R9"/>
    <mergeCell ref="P6:R7"/>
  </mergeCells>
  <conditionalFormatting sqref="E16:X27">
    <cfRule type="expression" dxfId="124" priority="37">
      <formula>$E16=0</formula>
    </cfRule>
  </conditionalFormatting>
  <conditionalFormatting sqref="G9:R9">
    <cfRule type="expression" dxfId="123" priority="19">
      <formula>TYPE.no=1</formula>
    </cfRule>
    <cfRule type="expression" dxfId="122" priority="14">
      <formula>TYPE.no=6</formula>
    </cfRule>
    <cfRule type="expression" dxfId="121" priority="15">
      <formula>TYPE.no=5</formula>
    </cfRule>
    <cfRule type="expression" dxfId="120" priority="16">
      <formula>TYPE.no=4</formula>
    </cfRule>
    <cfRule type="expression" dxfId="119" priority="17">
      <formula>TYPE.no=3</formula>
    </cfRule>
    <cfRule type="expression" dxfId="118" priority="18">
      <formula>TYPE.no=2</formula>
    </cfRule>
  </conditionalFormatting>
  <conditionalFormatting sqref="G13:S15">
    <cfRule type="expression" priority="4" stopIfTrue="1">
      <formula>G13=""</formula>
    </cfRule>
    <cfRule type="cellIs" dxfId="117" priority="5" operator="lessThanOrEqual">
      <formula>-REP.percenthighlight</formula>
    </cfRule>
    <cfRule type="cellIs" dxfId="116" priority="6" operator="greaterThanOrEqual">
      <formula>REP.percenthighlight</formula>
    </cfRule>
  </conditionalFormatting>
  <conditionalFormatting sqref="G16:S27 U16:X27 G30:R31">
    <cfRule type="expression" dxfId="115" priority="7">
      <formula>$A$2=1</formula>
    </cfRule>
    <cfRule type="expression" dxfId="114" priority="29">
      <formula>AND($A$2&gt;1,G16&lt;10)</formula>
    </cfRule>
  </conditionalFormatting>
  <conditionalFormatting sqref="G30:S34 H35:S36">
    <cfRule type="expression" dxfId="113" priority="30" stopIfTrue="1">
      <formula>G$29=0</formula>
    </cfRule>
  </conditionalFormatting>
  <conditionalFormatting sqref="G33:S34">
    <cfRule type="cellIs" dxfId="112" priority="33" operator="lessThanOrEqual">
      <formula>-REP.percenthighlight</formula>
    </cfRule>
    <cfRule type="cellIs" dxfId="111" priority="34" operator="greaterThanOrEqual">
      <formula>REP.percenthighlight</formula>
    </cfRule>
  </conditionalFormatting>
  <conditionalFormatting sqref="H35:S36">
    <cfRule type="cellIs" dxfId="110" priority="31" operator="lessThanOrEqual">
      <formula>-REP.percenthighlight</formula>
    </cfRule>
    <cfRule type="cellIs" dxfId="109" priority="32" operator="greaterThanOrEqual">
      <formula>REP.percenthighlight</formula>
    </cfRule>
  </conditionalFormatting>
  <conditionalFormatting sqref="I29:S29">
    <cfRule type="expression" dxfId="108" priority="35">
      <formula>I29=0</formula>
    </cfRule>
  </conditionalFormatting>
  <conditionalFormatting sqref="S6:T7">
    <cfRule type="expression" dxfId="107" priority="21">
      <formula>TYPE.no=5</formula>
    </cfRule>
    <cfRule type="expression" dxfId="106" priority="20">
      <formula>TYPE.no=6</formula>
    </cfRule>
    <cfRule type="expression" dxfId="105" priority="22">
      <formula>TYPE.no=4</formula>
    </cfRule>
    <cfRule type="expression" dxfId="104" priority="23">
      <formula>TYPE.no=3</formula>
    </cfRule>
    <cfRule type="expression" dxfId="103" priority="24">
      <formula>TYPE.no=2</formula>
    </cfRule>
    <cfRule type="expression" dxfId="102" priority="25">
      <formula>TYPE.no=1</formula>
    </cfRule>
  </conditionalFormatting>
  <conditionalFormatting sqref="S28:X28">
    <cfRule type="expression" dxfId="101" priority="8">
      <formula>TYPE.no=6</formula>
    </cfRule>
    <cfRule type="expression" dxfId="100" priority="9">
      <formula>TYPE.no=5</formula>
    </cfRule>
    <cfRule type="expression" dxfId="99" priority="10">
      <formula>TYPE.no=4</formula>
    </cfRule>
    <cfRule type="expression" dxfId="98" priority="11">
      <formula>TYPE.no=3</formula>
    </cfRule>
    <cfRule type="expression" dxfId="97" priority="12">
      <formula>TYPE.no=2</formula>
    </cfRule>
    <cfRule type="expression" dxfId="96" priority="13">
      <formula>TYPE.no=1</formula>
    </cfRule>
  </conditionalFormatting>
  <conditionalFormatting sqref="T17:T27">
    <cfRule type="cellIs" dxfId="95" priority="56" operator="lessThanOrEqual">
      <formula>-REP.percenthighlight</formula>
    </cfRule>
    <cfRule type="cellIs" dxfId="94" priority="55" operator="greaterThanOrEqual">
      <formula>REP.percenthighlight</formula>
    </cfRule>
  </conditionalFormatting>
  <conditionalFormatting sqref="U13:X15">
    <cfRule type="cellIs" dxfId="93" priority="2" operator="lessThanOrEqual">
      <formula>-REP.percenthighlight</formula>
    </cfRule>
    <cfRule type="cellIs" dxfId="92" priority="3" operator="greaterThanOrEqual">
      <formula>REP.percenthighlight</formula>
    </cfRule>
    <cfRule type="expression" priority="1" stopIfTrue="1">
      <formula>U13=""</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8787" r:id="rId4" name="Drop Down 3">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18789" r:id="rId5" name="Drop Down 5">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Output05">
    <tabColor rgb="FFFF0000"/>
    <outlinePr showOutlineSymbols="0"/>
    <pageSetUpPr autoPageBreaks="0" fitToPage="1"/>
  </sheetPr>
  <dimension ref="A1:Y70"/>
  <sheetViews>
    <sheetView showGridLines="0" showRowColHeaders="0" showZeros="0" showOutlineSymbols="0" zoomScaleNormal="100" workbookViewId="0">
      <pane ySplit="7" topLeftCell="A8" activePane="bottomLeft" state="frozen"/>
      <selection activeCell="G33" sqref="G33:G35"/>
      <selection pane="bottomLeft" activeCell="U21" sqref="U21:V22"/>
    </sheetView>
  </sheetViews>
  <sheetFormatPr defaultColWidth="4.88671875" defaultRowHeight="16.2" customHeight="1" x14ac:dyDescent="0.3"/>
  <cols>
    <col min="1" max="3" width="4.88671875" style="39"/>
    <col min="4" max="4" width="4.88671875" style="40"/>
    <col min="5" max="5" width="19.5546875" style="39" customWidth="1"/>
    <col min="6" max="6" width="5.109375" style="39" customWidth="1"/>
    <col min="7" max="24" width="7.33203125" style="39" customWidth="1"/>
    <col min="25" max="25" width="4.88671875" style="39"/>
    <col min="26" max="26" width="8.44140625" style="39" bestFit="1" customWidth="1"/>
    <col min="27" max="16384" width="4.88671875" style="39"/>
  </cols>
  <sheetData>
    <row r="1" spans="1:25" ht="16.2" hidden="1" customHeight="1" thickTop="1" thickBot="1" x14ac:dyDescent="0.35">
      <c r="A1" s="37" t="str">
        <f ca="1">MID(CELL("filename",A1),FIND("]",CELL("filename",A1))+1,255)</f>
        <v>VISITOR DAYS</v>
      </c>
      <c r="E1" s="53"/>
      <c r="F1" s="54"/>
      <c r="G1" s="54"/>
      <c r="H1" s="54"/>
      <c r="I1" s="54"/>
      <c r="J1" s="54"/>
      <c r="K1" s="54"/>
      <c r="L1" s="54"/>
      <c r="M1" s="54"/>
      <c r="N1" s="54"/>
      <c r="O1" s="54"/>
      <c r="P1" s="54"/>
      <c r="Q1" s="54"/>
      <c r="R1" s="54"/>
      <c r="S1" s="54"/>
      <c r="T1" s="54"/>
      <c r="U1" s="54"/>
      <c r="V1" s="54"/>
      <c r="W1" s="54"/>
      <c r="X1" s="55"/>
    </row>
    <row r="2" spans="1:25" ht="16.2" customHeight="1" thickTop="1" x14ac:dyDescent="0.3">
      <c r="A2" s="618">
        <f ca="1">'VISITOR NUMBERS'!A2</f>
        <v>1000</v>
      </c>
      <c r="B2" s="618"/>
      <c r="C2" s="618"/>
      <c r="D2" s="622"/>
      <c r="E2" s="44"/>
      <c r="F2" s="45"/>
      <c r="G2" s="45"/>
      <c r="H2" s="45"/>
      <c r="I2" s="45"/>
      <c r="J2" s="45"/>
      <c r="K2" s="45"/>
      <c r="L2" s="45"/>
      <c r="M2" s="45"/>
      <c r="N2" s="45"/>
      <c r="O2" s="45"/>
      <c r="P2" s="45"/>
      <c r="Q2" s="45"/>
      <c r="R2" s="45"/>
      <c r="S2" s="45"/>
      <c r="T2" s="45"/>
      <c r="U2" s="45"/>
      <c r="V2" s="45"/>
      <c r="W2" s="45"/>
      <c r="X2" s="46"/>
    </row>
    <row r="3" spans="1:25" ht="26.4" customHeight="1" x14ac:dyDescent="0.3">
      <c r="A3" s="618">
        <f t="array" aca="1" ref="A3" ca="1">IFERROR(AVERAGE(IF(TYPE.no=5,(INDEX(DATA!T:T,MATCH(REP.yearsrange&amp;"."&amp;'VISITOR DAYS'!$A$1&amp;"."&amp;TOTAL,REP.lookup,0))-INDEX(DATA!T:T,MATCH(REP.yearsrange&amp;"."&amp;'VISITOR DAYS'!$A$1&amp;"."&amp;DV,REP.lookup,0))),INDEX(DATA!T:T,MATCH(REP.yearsrange&amp;"."&amp;'VISITOR DAYS'!$A$1&amp;"."&amp;TYPE.userselected,REP.lookup,0)))),0)</f>
        <v>60344.694689389544</v>
      </c>
      <c r="B3" s="618"/>
      <c r="C3" s="618"/>
      <c r="D3" s="622"/>
      <c r="E3" s="47"/>
      <c r="F3" s="43"/>
      <c r="G3" s="43"/>
      <c r="H3" s="43"/>
      <c r="I3" s="43"/>
      <c r="J3" s="43"/>
      <c r="K3" s="43"/>
      <c r="L3" s="43"/>
      <c r="M3" s="43"/>
      <c r="N3" s="43"/>
      <c r="O3" s="43"/>
      <c r="P3" s="43"/>
      <c r="Q3" s="43"/>
      <c r="R3" s="43"/>
      <c r="S3" s="43"/>
      <c r="T3" s="43"/>
      <c r="U3" s="43"/>
      <c r="V3" s="43"/>
      <c r="W3" s="43"/>
      <c r="X3" s="48"/>
    </row>
    <row r="4" spans="1:25" ht="26.4" customHeight="1" x14ac:dyDescent="0.3">
      <c r="A4" s="618">
        <f>IF(($A$5/1000000)&gt;1,1000000,IF(($A$5/1000)&gt;1,1000,1))</f>
        <v>1000</v>
      </c>
      <c r="B4" s="618"/>
      <c r="C4" s="618"/>
      <c r="D4" s="622"/>
      <c r="E4" s="58"/>
      <c r="F4" s="59"/>
      <c r="G4" s="59"/>
      <c r="H4" s="59"/>
      <c r="I4" s="59"/>
      <c r="J4" s="59"/>
      <c r="K4" s="59"/>
      <c r="L4" s="59"/>
      <c r="M4" s="59"/>
      <c r="N4" s="59"/>
      <c r="O4" s="59"/>
      <c r="P4" s="59"/>
      <c r="Q4" s="59"/>
      <c r="R4" s="59"/>
      <c r="S4" s="59"/>
      <c r="T4" s="59"/>
      <c r="U4" s="59"/>
      <c r="V4" s="59"/>
      <c r="W4" s="59"/>
      <c r="X4" s="60"/>
    </row>
    <row r="5" spans="1:25" ht="26.4" customHeight="1" thickBot="1" x14ac:dyDescent="0.35">
      <c r="A5" s="618">
        <f>VLOOKUP(FOCUSYEAR&amp;".Visitor DAYS.TOTAL",REP.data,18,FALSE)</f>
        <v>69978.224310341902</v>
      </c>
      <c r="B5" s="618"/>
      <c r="C5" s="618"/>
      <c r="D5" s="622"/>
      <c r="E5" s="50"/>
      <c r="F5" s="51"/>
      <c r="G5" s="51"/>
      <c r="H5" s="51"/>
      <c r="I5" s="51"/>
      <c r="J5" s="51"/>
      <c r="K5" s="51"/>
      <c r="L5" s="51"/>
      <c r="M5" s="51"/>
      <c r="N5" s="51"/>
      <c r="O5" s="51"/>
      <c r="P5" s="51"/>
      <c r="Q5" s="51"/>
      <c r="R5" s="51"/>
      <c r="S5" s="51"/>
      <c r="T5" s="51"/>
      <c r="U5" s="51"/>
      <c r="V5" s="51"/>
      <c r="W5" s="51"/>
      <c r="X5" s="52"/>
    </row>
    <row r="6" spans="1:25" ht="16.2" customHeight="1" thickTop="1" x14ac:dyDescent="0.3">
      <c r="D6" s="112"/>
      <c r="E6" s="377" t="str">
        <f>REP.title1</f>
        <v>STEAM FINAL TREND REPORT FOR 2011-2022</v>
      </c>
      <c r="F6" s="384"/>
      <c r="G6" s="384"/>
      <c r="H6" s="384"/>
      <c r="I6" s="384"/>
      <c r="J6" s="384"/>
      <c r="K6" s="384"/>
      <c r="L6" s="384"/>
      <c r="M6" s="384"/>
      <c r="N6" s="384"/>
      <c r="O6" s="385"/>
      <c r="P6" s="1036" t="str">
        <f>MIN(REP.yearsrange)&amp;" to "&amp;MAX(REP.yearsrange)</f>
        <v>2011 to 2022</v>
      </c>
      <c r="Q6" s="1037"/>
      <c r="R6" s="1038"/>
      <c r="S6" s="948" t="str">
        <f>UPPER(VISTYPE.short)</f>
        <v>TOTAL</v>
      </c>
      <c r="T6" s="949"/>
      <c r="U6" s="1030" t="str">
        <f ca="1">$A$1</f>
        <v>VISITOR DAYS</v>
      </c>
      <c r="V6" s="1031"/>
      <c r="W6" s="1031"/>
      <c r="X6" s="1032"/>
    </row>
    <row r="7" spans="1:25" ht="16.2" customHeight="1" thickBot="1" x14ac:dyDescent="0.35">
      <c r="D7" s="112"/>
      <c r="E7" s="378" t="str">
        <f>REP.title2</f>
        <v>NORTH WALES</v>
      </c>
      <c r="F7" s="379"/>
      <c r="G7" s="379"/>
      <c r="H7" s="379"/>
      <c r="I7" s="380"/>
      <c r="J7" s="380"/>
      <c r="K7" s="380"/>
      <c r="L7" s="380"/>
      <c r="M7" s="380"/>
      <c r="N7" s="380"/>
      <c r="O7" s="386"/>
      <c r="P7" s="1039"/>
      <c r="Q7" s="1040"/>
      <c r="R7" s="1041"/>
      <c r="S7" s="950"/>
      <c r="T7" s="951"/>
      <c r="U7" s="1033"/>
      <c r="V7" s="1034"/>
      <c r="W7" s="1034"/>
      <c r="X7" s="1035"/>
    </row>
    <row r="8" spans="1:25" ht="16.2" customHeight="1" thickTop="1" thickBot="1" x14ac:dyDescent="0.35">
      <c r="D8" s="112"/>
      <c r="E8" s="880" t="str">
        <f ca="1">$A$1&amp;" BY:"</f>
        <v>VISITOR DAYS BY:</v>
      </c>
      <c r="F8" s="881"/>
      <c r="G8" s="880" t="s">
        <v>132</v>
      </c>
      <c r="H8" s="879"/>
      <c r="I8" s="879"/>
      <c r="J8" s="879"/>
      <c r="K8" s="879"/>
      <c r="L8" s="879"/>
      <c r="M8" s="879"/>
      <c r="N8" s="879"/>
      <c r="O8" s="879"/>
      <c r="P8" s="879"/>
      <c r="Q8" s="879"/>
      <c r="R8" s="879"/>
      <c r="S8" s="1005" t="s">
        <v>123</v>
      </c>
      <c r="T8" s="1006"/>
      <c r="U8" s="1009" t="s">
        <v>124</v>
      </c>
      <c r="V8" s="1010"/>
      <c r="W8" s="1010"/>
      <c r="X8" s="1011"/>
    </row>
    <row r="9" spans="1:25" s="35" customFormat="1" ht="16.2" customHeight="1" thickTop="1" thickBot="1" x14ac:dyDescent="0.35">
      <c r="D9" s="125"/>
      <c r="E9" s="864" t="s">
        <v>90</v>
      </c>
      <c r="F9" s="865"/>
      <c r="G9" s="982" t="str">
        <f>UPPER(TYPE.userselected)</f>
        <v>TOTAL</v>
      </c>
      <c r="H9" s="982"/>
      <c r="I9" s="982"/>
      <c r="J9" s="982"/>
      <c r="K9" s="982"/>
      <c r="L9" s="982"/>
      <c r="M9" s="982"/>
      <c r="N9" s="982"/>
      <c r="O9" s="982"/>
      <c r="P9" s="982"/>
      <c r="Q9" s="982"/>
      <c r="R9" s="983"/>
      <c r="S9" s="1007"/>
      <c r="T9" s="1008"/>
      <c r="U9" s="1012"/>
      <c r="V9" s="1013"/>
      <c r="W9" s="1013"/>
      <c r="X9" s="1014"/>
    </row>
    <row r="10" spans="1:25" s="35" customFormat="1" ht="16.2" customHeight="1" thickTop="1" thickBot="1" x14ac:dyDescent="0.35">
      <c r="D10" s="125"/>
      <c r="E10" s="907" t="str">
        <f>REP.highlightup</f>
        <v>An increase of 3% or more</v>
      </c>
      <c r="F10" s="908"/>
      <c r="G10" s="880" t="str">
        <f ca="1">U6&amp;" IN "&amp;IF($A$2=1,"THOUSANDS",IF($A$2=1000,"MILLIONS","BILLIONS"))&amp;" / PERCENTAGE CHANGES"</f>
        <v>VISITOR DAYS IN MILLIONS / PERCENTAGE CHANGES</v>
      </c>
      <c r="H10" s="879"/>
      <c r="I10" s="879"/>
      <c r="J10" s="879"/>
      <c r="K10" s="879"/>
      <c r="L10" s="879"/>
      <c r="M10" s="879"/>
      <c r="N10" s="879"/>
      <c r="O10" s="879"/>
      <c r="P10" s="879"/>
      <c r="Q10" s="879"/>
      <c r="R10" s="881"/>
      <c r="S10" s="1002" t="s">
        <v>38</v>
      </c>
      <c r="T10" s="1002" t="s">
        <v>118</v>
      </c>
      <c r="U10" s="1012"/>
      <c r="V10" s="1013"/>
      <c r="W10" s="1013"/>
      <c r="X10" s="1014"/>
    </row>
    <row r="11" spans="1:25" s="35" customFormat="1" ht="16.2" customHeight="1" thickTop="1" thickBot="1" x14ac:dyDescent="0.35">
      <c r="D11" s="125"/>
      <c r="E11" s="918" t="str">
        <f>REP.highlightsame</f>
        <v>Less than 3% change</v>
      </c>
      <c r="F11" s="919"/>
      <c r="G11" s="984" t="s">
        <v>91</v>
      </c>
      <c r="H11" s="985"/>
      <c r="I11" s="986"/>
      <c r="J11" s="987" t="s">
        <v>92</v>
      </c>
      <c r="K11" s="988"/>
      <c r="L11" s="989"/>
      <c r="M11" s="990" t="s">
        <v>93</v>
      </c>
      <c r="N11" s="991"/>
      <c r="O11" s="992"/>
      <c r="P11" s="993" t="s">
        <v>94</v>
      </c>
      <c r="Q11" s="994"/>
      <c r="R11" s="995"/>
      <c r="S11" s="1003"/>
      <c r="T11" s="1003"/>
      <c r="U11" s="1015"/>
      <c r="V11" s="1016"/>
      <c r="W11" s="1016"/>
      <c r="X11" s="1017"/>
    </row>
    <row r="12" spans="1:25" ht="16.2" customHeight="1" thickTop="1" thickBot="1" x14ac:dyDescent="0.35">
      <c r="D12" s="112"/>
      <c r="E12" s="899" t="str">
        <f>REP.highlightdown</f>
        <v>A Fall of 3% or more</v>
      </c>
      <c r="F12" s="900"/>
      <c r="G12" s="184" t="s">
        <v>26</v>
      </c>
      <c r="H12" s="184" t="s">
        <v>27</v>
      </c>
      <c r="I12" s="184" t="s">
        <v>28</v>
      </c>
      <c r="J12" s="185" t="s">
        <v>29</v>
      </c>
      <c r="K12" s="185" t="s">
        <v>30</v>
      </c>
      <c r="L12" s="185" t="s">
        <v>31</v>
      </c>
      <c r="M12" s="186" t="s">
        <v>32</v>
      </c>
      <c r="N12" s="186" t="s">
        <v>33</v>
      </c>
      <c r="O12" s="186" t="s">
        <v>34</v>
      </c>
      <c r="P12" s="187" t="s">
        <v>35</v>
      </c>
      <c r="Q12" s="187" t="s">
        <v>36</v>
      </c>
      <c r="R12" s="187" t="s">
        <v>37</v>
      </c>
      <c r="S12" s="1004"/>
      <c r="T12" s="1004"/>
      <c r="U12" s="188" t="s">
        <v>91</v>
      </c>
      <c r="V12" s="189" t="s">
        <v>92</v>
      </c>
      <c r="W12" s="190" t="s">
        <v>93</v>
      </c>
      <c r="X12" s="191" t="s">
        <v>94</v>
      </c>
    </row>
    <row r="13" spans="1:25" ht="16.2" customHeight="1" thickTop="1" thickBot="1" x14ac:dyDescent="0.35">
      <c r="D13" s="112"/>
      <c r="E13" s="980" t="str">
        <f>"% Change "&amp;MIN(REP.yearsrange)&amp;" to "&amp;MAX(REP.yearsrange)</f>
        <v>% Change 2011 to 2022</v>
      </c>
      <c r="F13" s="980"/>
      <c r="G13" s="135">
        <f ca="1">IFERROR(INDEX(G$16:G$27,MATCH(MAX(REP.yearsrange),$E$16:$E$27,0))/INDEX(G$16:G$27,MATCH(MIN(REP.yearsrange),$E$16:$E$27,0))-1,"")</f>
        <v>0.38498847156101745</v>
      </c>
      <c r="H13" s="135">
        <f ca="1">IFERROR(INDEX(H$16:H$27,MATCH(MAX(REP.yearsrange),$E$16:$E$27,0))/INDEX(H$16:H$27,MATCH(MIN(REP.yearsrange),$E$16:$E$27,0))-1,"")</f>
        <v>0.35237813934566931</v>
      </c>
      <c r="I13" s="135">
        <f ca="1">IFERROR(INDEX(I$16:I$27,MATCH(MAX(REP.yearsrange),$E$16:$E$27,0))/INDEX(I$16:I$27,MATCH(MIN(REP.yearsrange),$E$16:$E$27,0))-1,"")</f>
        <v>1.0353523632091566</v>
      </c>
      <c r="J13" s="135">
        <f ca="1">IFERROR(INDEX(J$16:J$27,MATCH(MAX(REP.yearsrange),$E$16:$E$27,0))/INDEX(J$16:J$27,MATCH(MIN(REP.yearsrange),$E$16:$E$27,0))-1,"")</f>
        <v>-8.1664930344977904E-3</v>
      </c>
      <c r="K13" s="135">
        <f ca="1">IFERROR(INDEX(K$16:K$27,MATCH(MAX(REP.yearsrange),$E$16:$E$27,0))/INDEX(K$16:K$27,MATCH(MIN(REP.yearsrange),$E$16:$E$27,0))-1,"")</f>
        <v>6.50473659202635E-2</v>
      </c>
      <c r="L13" s="135">
        <f ca="1">IFERROR(INDEX(L$16:L$27,MATCH(MAX(REP.yearsrange),$E$16:$E$27,0))/INDEX(L$16:L$27,MATCH(MIN(REP.yearsrange),$E$16:$E$27,0))-1,"")</f>
        <v>8.3703989022811287E-2</v>
      </c>
      <c r="M13" s="135">
        <f ca="1">IFERROR(INDEX(M$16:M$27,MATCH(MAX(REP.yearsrange),$E$16:$E$27,0))/INDEX(M$16:M$27,MATCH(MIN(REP.yearsrange),$E$16:$E$27,0))-1,"")</f>
        <v>8.6635403441134962E-2</v>
      </c>
      <c r="N13" s="135">
        <f ca="1">IFERROR(INDEX(N$16:N$27,MATCH(MAX(REP.yearsrange),$E$16:$E$27,0))/INDEX(N$16:N$27,MATCH(MIN(REP.yearsrange),$E$16:$E$27,0))-1,"")</f>
        <v>7.6920568466064765E-2</v>
      </c>
      <c r="O13" s="135">
        <f ca="1">IFERROR(INDEX(O$16:O$27,MATCH(MAX(REP.yearsrange),$E$16:$E$27,0))/INDEX(O$16:O$27,MATCH(MIN(REP.yearsrange),$E$16:$E$27,0))-1,"")</f>
        <v>5.1254845365792168E-2</v>
      </c>
      <c r="P13" s="135">
        <f ca="1">IFERROR(INDEX(P$16:P$27,MATCH(MAX(REP.yearsrange),$E$16:$E$27,0))/INDEX(P$16:P$27,MATCH(MIN(REP.yearsrange),$E$16:$E$27,0))-1,"")</f>
        <v>0.23791032822873426</v>
      </c>
      <c r="Q13" s="135">
        <f ca="1">IFERROR(INDEX(Q$16:Q$27,MATCH(MAX(REP.yearsrange),$E$16:$E$27,0))/INDEX(Q$16:Q$27,MATCH(MIN(REP.yearsrange),$E$16:$E$27,0))-1,"")</f>
        <v>0.42240866976780067</v>
      </c>
      <c r="R13" s="135">
        <f ca="1">IFERROR(INDEX(R$16:R$27,MATCH(MAX(REP.yearsrange),$E$16:$E$27,0))/INDEX(R$16:R$27,MATCH(MIN(REP.yearsrange),$E$16:$E$27,0))-1,"")</f>
        <v>0.37819439807253441</v>
      </c>
      <c r="S13" s="135">
        <f ca="1">IFERROR(INDEX(S$16:S$27,MATCH(MAX(REP.yearsrange),$E$16:$E$27,0))/INDEX(S$16:S$27,MATCH(MIN(REP.yearsrange),$E$16:$E$27,0))-1,"")</f>
        <v>0.1596416995816905</v>
      </c>
      <c r="T13" s="981" t="str">
        <f>"Annual"&amp;CHAR(10)&amp;"Change"</f>
        <v>Annual
Change</v>
      </c>
      <c r="U13" s="135">
        <f ca="1">IFERROR(INDEX(U$16:U$27,MATCH(MAX(REP.yearsrange),$E$16:$E$27,0))/INDEX(U$16:U$27,MATCH(MIN(REP.yearsrange),$E$16:$E$27,0))-1,"")</f>
        <v>0.67859815063735018</v>
      </c>
      <c r="V13" s="135">
        <f ca="1">IFERROR(INDEX(V$16:V$27,MATCH(MAX(REP.yearsrange),$E$16:$E$27,0))/INDEX(V$16:V$27,MATCH(MIN(REP.yearsrange),$E$16:$E$27,0))-1,"")</f>
        <v>4.7589754710147814E-2</v>
      </c>
      <c r="W13" s="135">
        <f ca="1">IFERROR(INDEX(W$16:W$27,MATCH(MAX(REP.yearsrange),$E$16:$E$27,0))/INDEX(W$16:W$27,MATCH(MIN(REP.yearsrange),$E$16:$E$27,0))-1,"")</f>
        <v>7.3830372515820253E-2</v>
      </c>
      <c r="X13" s="135">
        <f ca="1">IFERROR(INDEX(X$16:X$27,MATCH(MAX(REP.yearsrange),$E$16:$E$27,0))/INDEX(X$16:X$27,MATCH(MIN(REP.yearsrange),$E$16:$E$27,0))-1,"")</f>
        <v>0.30952565194374859</v>
      </c>
    </row>
    <row r="14" spans="1:25" ht="16.2" customHeight="1" thickTop="1" thickBot="1" x14ac:dyDescent="0.35">
      <c r="D14" s="112"/>
      <c r="E14" s="980" t="str">
        <f>"% Change "&amp;INDEX(REP.yearsrange,COUNT(REP.yearsrange)-1)&amp;" to "&amp;MAX(REP.yearsrange)</f>
        <v>% Change 2021 to 2022</v>
      </c>
      <c r="F14" s="980"/>
      <c r="G14" s="135">
        <f ca="1">IFERROR(INDEX(G$16:G$27,MATCH(MAX(REP.yearsrange),$E$16:$E$27,0))/INDEX(G$16:G$27,MATCH(INDEX(REP.yearsrange,COUNT(REP.yearsrange)-1),$E$16:$E$27,0))-1,"")</f>
        <v>728.73255909117643</v>
      </c>
      <c r="H14" s="135">
        <f ca="1">IFERROR(INDEX(H$16:H$27,MATCH(MAX(REP.yearsrange),$E$16:$E$27,0))/INDEX(H$16:H$27,MATCH(INDEX(REP.yearsrange,COUNT(REP.yearsrange)-1),$E$16:$E$27,0))-1,"")</f>
        <v>845.95618874209697</v>
      </c>
      <c r="I14" s="135">
        <f ca="1">IFERROR(INDEX(I$16:I$27,MATCH(MAX(REP.yearsrange),$E$16:$E$27,0))/INDEX(I$16:I$27,MATCH(INDEX(REP.yearsrange,COUNT(REP.yearsrange)-1),$E$16:$E$27,0))-1,"")</f>
        <v>5.5173099634272953</v>
      </c>
      <c r="J14" s="135">
        <f ca="1">IFERROR(INDEX(J$16:J$27,MATCH(MAX(REP.yearsrange),$E$16:$E$27,0))/INDEX(J$16:J$27,MATCH(INDEX(REP.yearsrange,COUNT(REP.yearsrange)-1),$E$16:$E$27,0))-1,"")</f>
        <v>0.79730174574805424</v>
      </c>
      <c r="K14" s="135">
        <f ca="1">IFERROR(INDEX(K$16:K$27,MATCH(MAX(REP.yearsrange),$E$16:$E$27,0))/INDEX(K$16:K$27,MATCH(INDEX(REP.yearsrange,COUNT(REP.yearsrange)-1),$E$16:$E$27,0))-1,"")</f>
        <v>0.7995340988054358</v>
      </c>
      <c r="L14" s="135">
        <f ca="1">IFERROR(INDEX(L$16:L$27,MATCH(MAX(REP.yearsrange),$E$16:$E$27,0))/INDEX(L$16:L$27,MATCH(INDEX(REP.yearsrange,COUNT(REP.yearsrange)-1),$E$16:$E$27,0))-1,"")</f>
        <v>0.3621450611700916</v>
      </c>
      <c r="M14" s="135">
        <f ca="1">IFERROR(INDEX(M$16:M$27,MATCH(MAX(REP.yearsrange),$E$16:$E$27,0))/INDEX(M$16:M$27,MATCH(INDEX(REP.yearsrange,COUNT(REP.yearsrange)-1),$E$16:$E$27,0))-1,"")</f>
        <v>0.19338209418561347</v>
      </c>
      <c r="N14" s="135">
        <f ca="1">IFERROR(INDEX(N$16:N$27,MATCH(MAX(REP.yearsrange),$E$16:$E$27,0))/INDEX(N$16:N$27,MATCH(INDEX(REP.yearsrange,COUNT(REP.yearsrange)-1),$E$16:$E$27,0))-1,"")</f>
        <v>-4.3860958976020936E-2</v>
      </c>
      <c r="O14" s="135">
        <f ca="1">IFERROR(INDEX(O$16:O$27,MATCH(MAX(REP.yearsrange),$E$16:$E$27,0))/INDEX(O$16:O$27,MATCH(INDEX(REP.yearsrange,COUNT(REP.yearsrange)-1),$E$16:$E$27,0))-1,"")</f>
        <v>-0.14807767026788676</v>
      </c>
      <c r="P14" s="135">
        <f ca="1">IFERROR(INDEX(P$16:P$27,MATCH(MAX(REP.yearsrange),$E$16:$E$27,0))/INDEX(P$16:P$27,MATCH(INDEX(REP.yearsrange,COUNT(REP.yearsrange)-1),$E$16:$E$27,0))-1,"")</f>
        <v>-0.16454033278132851</v>
      </c>
      <c r="Q14" s="135">
        <f ca="1">IFERROR(INDEX(Q$16:Q$27,MATCH(MAX(REP.yearsrange),$E$16:$E$27,0))/INDEX(Q$16:Q$27,MATCH(INDEX(REP.yearsrange,COUNT(REP.yearsrange)-1),$E$16:$E$27,0))-1,"")</f>
        <v>0.25632925908957471</v>
      </c>
      <c r="R14" s="135">
        <f ca="1">IFERROR(INDEX(R$16:R$27,MATCH(MAX(REP.yearsrange),$E$16:$E$27,0))/INDEX(R$16:R$27,MATCH(INDEX(REP.yearsrange,COUNT(REP.yearsrange)-1),$E$16:$E$27,0))-1,"")</f>
        <v>0.12020098282738956</v>
      </c>
      <c r="S14" s="135">
        <f ca="1">IFERROR(INDEX(S$16:S$27,MATCH(MAX(REP.yearsrange),$E$16:$E$27,0))/INDEX(S$16:S$27,MATCH(INDEX(REP.yearsrange,COUNT(REP.yearsrange)-1),$E$16:$E$27,0))-1,"")</f>
        <v>0.32320846340691456</v>
      </c>
      <c r="T14" s="981"/>
      <c r="U14" s="135">
        <f ca="1">IFERROR(INDEX(U$16:U$27,MATCH(MAX(REP.yearsrange),$E$16:$E$27,0))/INDEX(U$16:U$27,MATCH(INDEX(REP.yearsrange,COUNT(REP.yearsrange)-1),$E$16:$E$27,0))-1,"")</f>
        <v>10.474692413008009</v>
      </c>
      <c r="V14" s="135">
        <f ca="1">IFERROR(INDEX(V$16:V$27,MATCH(MAX(REP.yearsrange),$E$16:$E$27,0))/INDEX(V$16:V$27,MATCH(INDEX(REP.yearsrange,COUNT(REP.yearsrange)-1),$E$16:$E$27,0))-1,"")</f>
        <v>0.61167002951076976</v>
      </c>
      <c r="W14" s="135">
        <f ca="1">IFERROR(INDEX(W$16:W$27,MATCH(MAX(REP.yearsrange),$E$16:$E$27,0))/INDEX(W$16:W$27,MATCH(INDEX(REP.yearsrange,COUNT(REP.yearsrange)-1),$E$16:$E$27,0))-1,"")</f>
        <v>-3.1146366883025856E-3</v>
      </c>
      <c r="X14" s="135">
        <f ca="1">IFERROR(INDEX(X$16:X$27,MATCH(MAX(REP.yearsrange),$E$16:$E$27,0))/INDEX(X$16:X$27,MATCH(INDEX(REP.yearsrange,COUNT(REP.yearsrange)-1),$E$16:$E$27,0))-1,"")</f>
        <v>-2.9110679896520275E-2</v>
      </c>
    </row>
    <row r="15" spans="1:25" ht="16.2" customHeight="1" thickTop="1" thickBot="1" x14ac:dyDescent="0.35">
      <c r="D15" s="112"/>
      <c r="E15" s="980" t="s">
        <v>116</v>
      </c>
      <c r="F15" s="980"/>
      <c r="G15" s="135">
        <f ca="1">IFERROR(G13/(MAX(REP.yearsrange)-MIN(REP.yearsrange)),"")</f>
        <v>3.4998951960092499E-2</v>
      </c>
      <c r="H15" s="135">
        <f ca="1">IFERROR(H13/(MAX(REP.yearsrange)-MIN(REP.yearsrange)),"")</f>
        <v>3.2034376304151756E-2</v>
      </c>
      <c r="I15" s="135">
        <f ca="1">IFERROR(I13/(MAX(REP.yearsrange)-MIN(REP.yearsrange)),"")</f>
        <v>9.4122942109923322E-2</v>
      </c>
      <c r="J15" s="135">
        <f ca="1">IFERROR(J13/(MAX(REP.yearsrange)-MIN(REP.yearsrange)),"")</f>
        <v>-7.4240845768161728E-4</v>
      </c>
      <c r="K15" s="135">
        <f ca="1">IFERROR(K13/(MAX(REP.yearsrange)-MIN(REP.yearsrange)),"")</f>
        <v>5.9133969018421361E-3</v>
      </c>
      <c r="L15" s="135">
        <f ca="1">IFERROR(L13/(MAX(REP.yearsrange)-MIN(REP.yearsrange)),"")</f>
        <v>7.6094535475282991E-3</v>
      </c>
      <c r="M15" s="135">
        <f ca="1">IFERROR(M13/(MAX(REP.yearsrange)-MIN(REP.yearsrange)),"")</f>
        <v>7.8759457673759064E-3</v>
      </c>
      <c r="N15" s="135">
        <f ca="1">IFERROR(N13/(MAX(REP.yearsrange)-MIN(REP.yearsrange)),"")</f>
        <v>6.9927789514604329E-3</v>
      </c>
      <c r="O15" s="135">
        <f ca="1">IFERROR(O13/(MAX(REP.yearsrange)-MIN(REP.yearsrange)),"")</f>
        <v>4.6595313968901967E-3</v>
      </c>
      <c r="P15" s="135">
        <f ca="1">IFERROR(P13/(MAX(REP.yearsrange)-MIN(REP.yearsrange)),"")</f>
        <v>2.162821165715766E-2</v>
      </c>
      <c r="Q15" s="135">
        <f ca="1">IFERROR(Q13/(MAX(REP.yearsrange)-MIN(REP.yearsrange)),"")</f>
        <v>3.8400788160709153E-2</v>
      </c>
      <c r="R15" s="135">
        <f ca="1">IFERROR(R13/(MAX(REP.yearsrange)-MIN(REP.yearsrange)),"")</f>
        <v>3.4381308915684944E-2</v>
      </c>
      <c r="S15" s="135">
        <f ca="1">IFERROR(S13/(MAX(REP.yearsrange)-MIN(REP.yearsrange)),"")</f>
        <v>1.4512881780153681E-2</v>
      </c>
      <c r="T15" s="981"/>
      <c r="U15" s="135">
        <f ca="1">IFERROR(U13/(MAX(REP.yearsrange)-MIN(REP.yearsrange)),"")</f>
        <v>6.1690740967031837E-2</v>
      </c>
      <c r="V15" s="135">
        <f ca="1">IFERROR(V13/(MAX(REP.yearsrange)-MIN(REP.yearsrange)),"")</f>
        <v>4.3263413372861652E-3</v>
      </c>
      <c r="W15" s="135">
        <f ca="1">IFERROR(W13/(MAX(REP.yearsrange)-MIN(REP.yearsrange)),"")</f>
        <v>6.71185204689275E-3</v>
      </c>
      <c r="X15" s="135">
        <f ca="1">IFERROR(X13/(MAX(REP.yearsrange)-MIN(REP.yearsrange)),"")</f>
        <v>2.8138695631249874E-2</v>
      </c>
    </row>
    <row r="16" spans="1:25" ht="16.2" customHeight="1" thickTop="1" thickBot="1" x14ac:dyDescent="0.35">
      <c r="D16" s="112"/>
      <c r="E16" s="193">
        <f t="array" ref="E16:E27">INDEX(REP.yearsrange,REP.yearnos)</f>
        <v>2011</v>
      </c>
      <c r="F16" s="194" t="str">
        <f ca="1">IF($A$2=1,"000s",IF(A2=1000,"M","Bn"))</f>
        <v>M</v>
      </c>
      <c r="G16" s="589">
        <f t="array" aca="1" ref="G16:G27" ca="1">TD.MONTHLYDATA</f>
        <v>1.5558880129404258</v>
      </c>
      <c r="H16" s="589">
        <f t="array" aca="1" ref="H16:H27" ca="1">TD.MONTHLYDATA</f>
        <v>1.697385750132631</v>
      </c>
      <c r="I16" s="589">
        <f t="array" aca="1" ref="I16:I27" ca="1">TD.MONTHLYDATA</f>
        <v>2.8326083985044952</v>
      </c>
      <c r="J16" s="590">
        <f t="array" aca="1" ref="J16:J27" ca="1">TD.MONTHLYDATA</f>
        <v>6.7485580290487084</v>
      </c>
      <c r="K16" s="590">
        <f t="array" aca="1" ref="K16:K27" ca="1">TD.MONTHLYDATA</f>
        <v>6.647550205907808</v>
      </c>
      <c r="L16" s="590">
        <f t="array" aca="1" ref="L16:L27" ca="1">TD.MONTHLYDATA</f>
        <v>7.2055778377958415</v>
      </c>
      <c r="M16" s="591">
        <f t="array" aca="1" ref="M16:M27" ca="1">TD.MONTHLYDATA</f>
        <v>8.8734027423115727</v>
      </c>
      <c r="N16" s="591">
        <f t="array" aca="1" ref="N16:N27" ca="1">TD.MONTHLYDATA</f>
        <v>9.7657973957500879</v>
      </c>
      <c r="O16" s="591">
        <f t="array" aca="1" ref="O16:O27" ca="1">TD.MONTHLYDATA</f>
        <v>6.3698368208933625</v>
      </c>
      <c r="P16" s="592">
        <f t="array" aca="1" ref="P16:P27" ca="1">TD.MONTHLYDATA</f>
        <v>4.8945351348963788</v>
      </c>
      <c r="Q16" s="592">
        <f t="array" aca="1" ref="Q16:Q27" ca="1">TD.MONTHLYDATA</f>
        <v>2.0982330603365487</v>
      </c>
      <c r="R16" s="592">
        <f t="array" aca="1" ref="R16:R27" ca="1">TD.MONTHLYDATA</f>
        <v>1.655321300871692</v>
      </c>
      <c r="S16" s="593">
        <f t="array" aca="1" ref="S16:S27" ca="1">TD.MONTHLYDATA</f>
        <v>60.344694689389542</v>
      </c>
      <c r="T16" s="981"/>
      <c r="U16" s="589">
        <f ca="1">IF(SUM(G16:I16)=0,"",SUM(G16:I16))</f>
        <v>6.085882161577552</v>
      </c>
      <c r="V16" s="590">
        <f ca="1">IF(SUM(J16:L16)=0,"",SUM(J16:L16))</f>
        <v>20.601686072752358</v>
      </c>
      <c r="W16" s="591">
        <f ca="1">IF(SUM(M16:O16)=0,"",SUM(M16:O16))</f>
        <v>25.009036958955022</v>
      </c>
      <c r="X16" s="592">
        <f ca="1">IF(SUM(P16:R16)=0,"",SUM(P16:R16))</f>
        <v>8.6480894961046193</v>
      </c>
      <c r="Y16" s="73"/>
    </row>
    <row r="17" spans="4:24" ht="16.2" customHeight="1" thickTop="1" thickBot="1" x14ac:dyDescent="0.35">
      <c r="D17" s="112"/>
      <c r="E17" s="193">
        <v>2012</v>
      </c>
      <c r="F17" s="194" t="str">
        <f ca="1">$F$16</f>
        <v>M</v>
      </c>
      <c r="G17" s="589">
        <f ca="1"/>
        <v>1.454311263655222</v>
      </c>
      <c r="H17" s="589">
        <f ca="1"/>
        <v>1.6804575563253237</v>
      </c>
      <c r="I17" s="589">
        <f ca="1"/>
        <v>3.0497509830297092</v>
      </c>
      <c r="J17" s="590">
        <f ca="1"/>
        <v>5.8617337525213413</v>
      </c>
      <c r="K17" s="590">
        <f ca="1"/>
        <v>5.9005776764622446</v>
      </c>
      <c r="L17" s="590">
        <f ca="1"/>
        <v>7.0009152697330874</v>
      </c>
      <c r="M17" s="591">
        <f ca="1"/>
        <v>8.5520142619490986</v>
      </c>
      <c r="N17" s="591">
        <f ca="1"/>
        <v>9.61434799017605</v>
      </c>
      <c r="O17" s="591">
        <f ca="1"/>
        <v>6.2926471987517383</v>
      </c>
      <c r="P17" s="592">
        <f ca="1"/>
        <v>5.2638159283688646</v>
      </c>
      <c r="Q17" s="592">
        <f ca="1"/>
        <v>2.088631446645727</v>
      </c>
      <c r="R17" s="592">
        <f ca="1"/>
        <v>1.7195061510962477</v>
      </c>
      <c r="S17" s="593">
        <f ca="1"/>
        <v>58.478709478714649</v>
      </c>
      <c r="T17" s="195">
        <f ca="1">IFERROR(IF(S17&lt;&gt;0,S17/S16-1,""),"")</f>
        <v>-3.0922108733495546E-2</v>
      </c>
      <c r="U17" s="589">
        <f t="shared" ref="U17:U27" ca="1" si="0">IF(SUM(G17:I17)=0,"",SUM(G17:I17))</f>
        <v>6.1845198030102555</v>
      </c>
      <c r="V17" s="590">
        <f t="shared" ref="V17:V27" ca="1" si="1">IF(SUM(J17:L17)=0,"",SUM(J17:L17))</f>
        <v>18.763226698716675</v>
      </c>
      <c r="W17" s="591">
        <f t="shared" ref="W17:W27" ca="1" si="2">IF(SUM(M17:O17)=0,"",SUM(M17:O17))</f>
        <v>24.459009450876884</v>
      </c>
      <c r="X17" s="592">
        <f t="shared" ref="X17:X27" ca="1" si="3">IF(SUM(P17:R17)=0,"",SUM(P17:R17))</f>
        <v>9.0719535261108391</v>
      </c>
    </row>
    <row r="18" spans="4:24" ht="16.2" customHeight="1" thickTop="1" thickBot="1" x14ac:dyDescent="0.35">
      <c r="D18" s="112"/>
      <c r="E18" s="193">
        <v>2013</v>
      </c>
      <c r="F18" s="194" t="str">
        <f t="shared" ref="F18:F27" ca="1" si="4">$F$16</f>
        <v>M</v>
      </c>
      <c r="G18" s="589">
        <f ca="1"/>
        <v>1.5712697501812605</v>
      </c>
      <c r="H18" s="589">
        <f ca="1"/>
        <v>1.8746523906439609</v>
      </c>
      <c r="I18" s="589">
        <f ca="1"/>
        <v>4.0236612264865839</v>
      </c>
      <c r="J18" s="590">
        <f ca="1"/>
        <v>5.5655711608552236</v>
      </c>
      <c r="K18" s="590">
        <f ca="1"/>
        <v>6.5613064301781936</v>
      </c>
      <c r="L18" s="590">
        <f ca="1"/>
        <v>6.9672020376831076</v>
      </c>
      <c r="M18" s="591">
        <f ca="1"/>
        <v>8.8590411162775933</v>
      </c>
      <c r="N18" s="591">
        <f ca="1"/>
        <v>10.2636830319674</v>
      </c>
      <c r="O18" s="591">
        <f ca="1"/>
        <v>6.2325045399686481</v>
      </c>
      <c r="P18" s="592">
        <f ca="1"/>
        <v>4.9509979621286897</v>
      </c>
      <c r="Q18" s="592">
        <f ca="1"/>
        <v>2.4018030673497481</v>
      </c>
      <c r="R18" s="592">
        <f ca="1"/>
        <v>1.939838863176643</v>
      </c>
      <c r="S18" s="593">
        <f ca="1"/>
        <v>61.211531576897045</v>
      </c>
      <c r="T18" s="195">
        <f t="shared" ref="T18:T27" ca="1" si="5">IFERROR(IF(S18&lt;&gt;0,S18/S17-1,""),"")</f>
        <v>4.6731915299483395E-2</v>
      </c>
      <c r="U18" s="589">
        <f t="shared" ca="1" si="0"/>
        <v>7.4695833673118051</v>
      </c>
      <c r="V18" s="590">
        <f t="shared" ca="1" si="1"/>
        <v>19.094079628716525</v>
      </c>
      <c r="W18" s="591">
        <f t="shared" ca="1" si="2"/>
        <v>25.355228688213639</v>
      </c>
      <c r="X18" s="592">
        <f t="shared" ca="1" si="3"/>
        <v>9.2926398926550817</v>
      </c>
    </row>
    <row r="19" spans="4:24" ht="16.2" customHeight="1" thickTop="1" thickBot="1" x14ac:dyDescent="0.35">
      <c r="D19" s="112"/>
      <c r="E19" s="193">
        <v>2014</v>
      </c>
      <c r="F19" s="194" t="str">
        <f t="shared" ca="1" si="4"/>
        <v>M</v>
      </c>
      <c r="G19" s="589">
        <f ca="1"/>
        <v>1.6002926142777982</v>
      </c>
      <c r="H19" s="589">
        <f ca="1"/>
        <v>1.9948165743396431</v>
      </c>
      <c r="I19" s="589">
        <f ca="1"/>
        <v>4.3797164850300945</v>
      </c>
      <c r="J19" s="590">
        <f ca="1"/>
        <v>5.9429635082758798</v>
      </c>
      <c r="K19" s="590">
        <f ca="1"/>
        <v>6.7966824775484547</v>
      </c>
      <c r="L19" s="590">
        <f ca="1"/>
        <v>6.7134451170436344</v>
      </c>
      <c r="M19" s="591">
        <f ca="1"/>
        <v>8.8594531760336945</v>
      </c>
      <c r="N19" s="591">
        <f ca="1"/>
        <v>10.386567704131275</v>
      </c>
      <c r="O19" s="591">
        <f ca="1"/>
        <v>6.3451316380108498</v>
      </c>
      <c r="P19" s="592">
        <f ca="1"/>
        <v>4.889292236932878</v>
      </c>
      <c r="Q19" s="592">
        <f ca="1"/>
        <v>2.3654587074435161</v>
      </c>
      <c r="R19" s="592">
        <f ca="1"/>
        <v>2.0004746517712215</v>
      </c>
      <c r="S19" s="593">
        <f ca="1"/>
        <v>62.274294890838938</v>
      </c>
      <c r="T19" s="195">
        <f t="shared" ca="1" si="5"/>
        <v>1.7362142174253581E-2</v>
      </c>
      <c r="U19" s="589">
        <f t="shared" ca="1" si="0"/>
        <v>7.974825673647536</v>
      </c>
      <c r="V19" s="590">
        <f t="shared" ca="1" si="1"/>
        <v>19.453091102867969</v>
      </c>
      <c r="W19" s="591">
        <f t="shared" ca="1" si="2"/>
        <v>25.591152518175818</v>
      </c>
      <c r="X19" s="592">
        <f t="shared" ca="1" si="3"/>
        <v>9.2552255961476142</v>
      </c>
    </row>
    <row r="20" spans="4:24" ht="16.2" customHeight="1" thickTop="1" thickBot="1" x14ac:dyDescent="0.35">
      <c r="D20" s="112"/>
      <c r="E20" s="193">
        <v>2015</v>
      </c>
      <c r="F20" s="194" t="str">
        <f t="shared" ca="1" si="4"/>
        <v>M</v>
      </c>
      <c r="G20" s="589">
        <f ca="1"/>
        <v>1.6414364146039888</v>
      </c>
      <c r="H20" s="589">
        <f ca="1"/>
        <v>2.0106671875749518</v>
      </c>
      <c r="I20" s="589">
        <f ca="1"/>
        <v>4.4306939568679873</v>
      </c>
      <c r="J20" s="590">
        <f ca="1"/>
        <v>5.9766676504325913</v>
      </c>
      <c r="K20" s="590">
        <f ca="1"/>
        <v>6.9163569340182507</v>
      </c>
      <c r="L20" s="590">
        <f ca="1"/>
        <v>6.8051404257302588</v>
      </c>
      <c r="M20" s="591">
        <f ca="1"/>
        <v>9.3481920798130442</v>
      </c>
      <c r="N20" s="591">
        <f ca="1"/>
        <v>10.849843149140259</v>
      </c>
      <c r="O20" s="591">
        <f ca="1"/>
        <v>6.1652137933209925</v>
      </c>
      <c r="P20" s="592">
        <f ca="1"/>
        <v>5.1225953977880216</v>
      </c>
      <c r="Q20" s="592">
        <f ca="1"/>
        <v>2.6352836019140478</v>
      </c>
      <c r="R20" s="592">
        <f ca="1"/>
        <v>1.9722653576079248</v>
      </c>
      <c r="S20" s="593">
        <f ca="1"/>
        <v>63.874355948812322</v>
      </c>
      <c r="T20" s="195">
        <f t="shared" ca="1" si="5"/>
        <v>2.5693764349771442E-2</v>
      </c>
      <c r="U20" s="589">
        <f t="shared" ca="1" si="0"/>
        <v>8.0827975590469272</v>
      </c>
      <c r="V20" s="590">
        <f t="shared" ca="1" si="1"/>
        <v>19.6981650101811</v>
      </c>
      <c r="W20" s="591">
        <f t="shared" ca="1" si="2"/>
        <v>26.363249022274296</v>
      </c>
      <c r="X20" s="592">
        <f t="shared" ca="1" si="3"/>
        <v>9.7301443573099942</v>
      </c>
    </row>
    <row r="21" spans="4:24" ht="16.2" customHeight="1" thickTop="1" thickBot="1" x14ac:dyDescent="0.35">
      <c r="D21" s="112"/>
      <c r="E21" s="193">
        <v>2016</v>
      </c>
      <c r="F21" s="194" t="str">
        <f t="shared" ca="1" si="4"/>
        <v>M</v>
      </c>
      <c r="G21" s="589">
        <f ca="1"/>
        <v>1.6155608280819842</v>
      </c>
      <c r="H21" s="589">
        <f ca="1"/>
        <v>1.960086494716649</v>
      </c>
      <c r="I21" s="589">
        <f ca="1"/>
        <v>5.2844427536971255</v>
      </c>
      <c r="J21" s="590">
        <f ca="1"/>
        <v>5.7790838319710023</v>
      </c>
      <c r="K21" s="590">
        <f ca="1"/>
        <v>6.3154627464114812</v>
      </c>
      <c r="L21" s="590">
        <f ca="1"/>
        <v>7.3604997077127949</v>
      </c>
      <c r="M21" s="591">
        <f ca="1"/>
        <v>9.3735564834480982</v>
      </c>
      <c r="N21" s="591">
        <f ca="1"/>
        <v>10.497223294989652</v>
      </c>
      <c r="O21" s="591">
        <f ca="1"/>
        <v>6.3908297501153299</v>
      </c>
      <c r="P21" s="592">
        <f ca="1"/>
        <v>5.1165646106119649</v>
      </c>
      <c r="Q21" s="592">
        <f ca="1"/>
        <v>2.8045440083676469</v>
      </c>
      <c r="R21" s="592">
        <f ca="1"/>
        <v>2.1990005760010534</v>
      </c>
      <c r="S21" s="593">
        <f ca="1"/>
        <v>64.696855086124785</v>
      </c>
      <c r="T21" s="195">
        <f t="shared" ca="1" si="5"/>
        <v>1.2876828659870831E-2</v>
      </c>
      <c r="U21" s="589">
        <f t="shared" ca="1" si="0"/>
        <v>8.8600900764957586</v>
      </c>
      <c r="V21" s="590">
        <f t="shared" ca="1" si="1"/>
        <v>19.455046286095278</v>
      </c>
      <c r="W21" s="591">
        <f t="shared" ca="1" si="2"/>
        <v>26.26160952855308</v>
      </c>
      <c r="X21" s="592">
        <f t="shared" ca="1" si="3"/>
        <v>10.120109194980666</v>
      </c>
    </row>
    <row r="22" spans="4:24" ht="16.2" customHeight="1" thickTop="1" thickBot="1" x14ac:dyDescent="0.35">
      <c r="D22" s="112"/>
      <c r="E22" s="193">
        <v>2017</v>
      </c>
      <c r="F22" s="194" t="str">
        <f t="shared" ca="1" si="4"/>
        <v>M</v>
      </c>
      <c r="G22" s="589">
        <f ca="1"/>
        <v>1.7926981676012625</v>
      </c>
      <c r="H22" s="589">
        <f ca="1"/>
        <v>2.1738204300361086</v>
      </c>
      <c r="I22" s="589">
        <f ca="1"/>
        <v>4.995880054999744</v>
      </c>
      <c r="J22" s="590">
        <f ca="1"/>
        <v>6.8193673234998169</v>
      </c>
      <c r="K22" s="590">
        <f ca="1"/>
        <v>6.692801584101252</v>
      </c>
      <c r="L22" s="590">
        <f ca="1"/>
        <v>7.4621938058408581</v>
      </c>
      <c r="M22" s="591">
        <f ca="1"/>
        <v>9.3235997600234715</v>
      </c>
      <c r="N22" s="591">
        <f ca="1"/>
        <v>10.369649427479771</v>
      </c>
      <c r="O22" s="591">
        <f ca="1"/>
        <v>6.4335847081325452</v>
      </c>
      <c r="P22" s="592">
        <f ca="1"/>
        <v>5.5706986079901135</v>
      </c>
      <c r="Q22" s="592">
        <f ca="1"/>
        <v>2.8082547161373932</v>
      </c>
      <c r="R22" s="592">
        <f ca="1"/>
        <v>2.2650786883791851</v>
      </c>
      <c r="S22" s="593">
        <f ca="1"/>
        <v>66.707627274221522</v>
      </c>
      <c r="T22" s="195">
        <f t="shared" ca="1" si="5"/>
        <v>3.1079906209041885E-2</v>
      </c>
      <c r="U22" s="589">
        <f t="shared" ca="1" si="0"/>
        <v>8.9623986526371162</v>
      </c>
      <c r="V22" s="590">
        <f t="shared" ca="1" si="1"/>
        <v>20.974362713441927</v>
      </c>
      <c r="W22" s="591">
        <f t="shared" ca="1" si="2"/>
        <v>26.126833895635787</v>
      </c>
      <c r="X22" s="592">
        <f t="shared" ca="1" si="3"/>
        <v>10.644032012506692</v>
      </c>
    </row>
    <row r="23" spans="4:24" ht="16.2" customHeight="1" thickTop="1" thickBot="1" x14ac:dyDescent="0.35">
      <c r="D23" s="112"/>
      <c r="E23" s="193">
        <v>2018</v>
      </c>
      <c r="F23" s="194" t="str">
        <f t="shared" ca="1" si="4"/>
        <v>M</v>
      </c>
      <c r="G23" s="589">
        <f ca="1"/>
        <v>1.8005974695649352</v>
      </c>
      <c r="H23" s="589">
        <f ca="1"/>
        <v>2.1669253587515307</v>
      </c>
      <c r="I23" s="589">
        <f ca="1"/>
        <v>5.1315686342988451</v>
      </c>
      <c r="J23" s="590">
        <f ca="1"/>
        <v>6.2946033552223106</v>
      </c>
      <c r="K23" s="590">
        <f ca="1"/>
        <v>7.2091411910772134</v>
      </c>
      <c r="L23" s="590">
        <f ca="1"/>
        <v>7.8799232646170916</v>
      </c>
      <c r="M23" s="591">
        <f ca="1"/>
        <v>9.551580524129724</v>
      </c>
      <c r="N23" s="591">
        <f ca="1"/>
        <v>10.513776086235334</v>
      </c>
      <c r="O23" s="591">
        <f ca="1"/>
        <v>6.6801014784115704</v>
      </c>
      <c r="P23" s="592">
        <f ca="1"/>
        <v>5.7763298597807546</v>
      </c>
      <c r="Q23" s="592">
        <f ca="1"/>
        <v>2.8388433933270898</v>
      </c>
      <c r="R23" s="592">
        <f ca="1"/>
        <v>2.0851477965161878</v>
      </c>
      <c r="S23" s="593">
        <f ca="1"/>
        <v>67.928538411932593</v>
      </c>
      <c r="T23" s="195">
        <f t="shared" ca="1" si="5"/>
        <v>1.830242189086051E-2</v>
      </c>
      <c r="U23" s="589">
        <f t="shared" ca="1" si="0"/>
        <v>9.099091462615311</v>
      </c>
      <c r="V23" s="590">
        <f t="shared" ca="1" si="1"/>
        <v>21.383667810916617</v>
      </c>
      <c r="W23" s="591">
        <f t="shared" ca="1" si="2"/>
        <v>26.74545808877663</v>
      </c>
      <c r="X23" s="592">
        <f t="shared" ca="1" si="3"/>
        <v>10.700321049624032</v>
      </c>
    </row>
    <row r="24" spans="4:24" ht="16.2" customHeight="1" thickTop="1" thickBot="1" x14ac:dyDescent="0.35">
      <c r="D24" s="112"/>
      <c r="E24" s="193">
        <v>2019</v>
      </c>
      <c r="F24" s="194" t="str">
        <f t="shared" ca="1" si="4"/>
        <v>M</v>
      </c>
      <c r="G24" s="589">
        <f ca="1"/>
        <v>2.0223210306826847</v>
      </c>
      <c r="H24" s="589">
        <f ca="1"/>
        <v>2.3002636554313072</v>
      </c>
      <c r="I24" s="589">
        <f ca="1"/>
        <v>5.2869068746997181</v>
      </c>
      <c r="J24" s="590">
        <f ca="1"/>
        <v>6.780232867185223</v>
      </c>
      <c r="K24" s="590">
        <f ca="1"/>
        <v>7.4057560359712404</v>
      </c>
      <c r="L24" s="590">
        <f ca="1"/>
        <v>7.6265024225541964</v>
      </c>
      <c r="M24" s="591">
        <f ca="1"/>
        <v>9.5603425942485156</v>
      </c>
      <c r="N24" s="591">
        <f ca="1"/>
        <v>10.595424216698282</v>
      </c>
      <c r="O24" s="591">
        <f ca="1"/>
        <v>6.8809632963257714</v>
      </c>
      <c r="P24" s="592">
        <f ca="1"/>
        <v>6.0519686352184774</v>
      </c>
      <c r="Q24" s="592">
        <f ca="1"/>
        <v>2.9567731951348817</v>
      </c>
      <c r="R24" s="592">
        <f ca="1"/>
        <v>2.5047936081308464</v>
      </c>
      <c r="S24" s="593">
        <f ca="1"/>
        <v>69.972248432281134</v>
      </c>
      <c r="T24" s="195">
        <f t="shared" ca="1" si="5"/>
        <v>3.0086176857730518E-2</v>
      </c>
      <c r="U24" s="589">
        <f t="shared" ca="1" si="0"/>
        <v>9.6094915608137086</v>
      </c>
      <c r="V24" s="590">
        <f t="shared" ca="1" si="1"/>
        <v>21.81249132571066</v>
      </c>
      <c r="W24" s="591">
        <f t="shared" ca="1" si="2"/>
        <v>27.036730107272568</v>
      </c>
      <c r="X24" s="592">
        <f t="shared" ca="1" si="3"/>
        <v>11.513535438484205</v>
      </c>
    </row>
    <row r="25" spans="4:24" ht="16.2" customHeight="1" thickTop="1" thickBot="1" x14ac:dyDescent="0.35">
      <c r="D25" s="112"/>
      <c r="E25" s="193">
        <v>2020</v>
      </c>
      <c r="F25" s="194" t="str">
        <f t="shared" ca="1" si="4"/>
        <v>M</v>
      </c>
      <c r="G25" s="589">
        <f ca="1"/>
        <v>1.9077307885162049</v>
      </c>
      <c r="H25" s="589">
        <f ca="1"/>
        <v>2.1880909783660996</v>
      </c>
      <c r="I25" s="589">
        <f ca="1"/>
        <v>3.4623301616747924</v>
      </c>
      <c r="J25" s="590">
        <f ca="1"/>
        <v>3.9191412240006572E-2</v>
      </c>
      <c r="K25" s="590">
        <f ca="1"/>
        <v>4.6658650771318304E-2</v>
      </c>
      <c r="L25" s="590">
        <f ca="1"/>
        <v>6.3170418418132562E-2</v>
      </c>
      <c r="M25" s="591">
        <f ca="1"/>
        <v>2.6572549526677025</v>
      </c>
      <c r="N25" s="591">
        <f ca="1"/>
        <v>7.214585302427083</v>
      </c>
      <c r="O25" s="591">
        <f ca="1"/>
        <v>5.8543895534437755</v>
      </c>
      <c r="P25" s="592">
        <f ca="1"/>
        <v>1.2650088121689169</v>
      </c>
      <c r="Q25" s="592">
        <f ca="1"/>
        <v>0.81133528858006221</v>
      </c>
      <c r="R25" s="592">
        <f ca="1"/>
        <v>0.50449326695780849</v>
      </c>
      <c r="S25" s="593">
        <f ca="1"/>
        <v>26.014239586231906</v>
      </c>
      <c r="T25" s="195">
        <f t="shared" ca="1" si="5"/>
        <v>-0.62822061361357595</v>
      </c>
      <c r="U25" s="589">
        <f t="shared" ca="1" si="0"/>
        <v>7.5581519285570966</v>
      </c>
      <c r="V25" s="590">
        <f t="shared" ca="1" si="1"/>
        <v>0.14902048142945745</v>
      </c>
      <c r="W25" s="591">
        <f t="shared" ca="1" si="2"/>
        <v>15.726229808538561</v>
      </c>
      <c r="X25" s="592">
        <f t="shared" ca="1" si="3"/>
        <v>2.5808373677067875</v>
      </c>
    </row>
    <row r="26" spans="4:24" ht="16.2" customHeight="1" thickTop="1" thickBot="1" x14ac:dyDescent="0.35">
      <c r="D26" s="112"/>
      <c r="E26" s="193">
        <v>2021</v>
      </c>
      <c r="F26" s="194" t="str">
        <f t="shared" ca="1" si="4"/>
        <v>M</v>
      </c>
      <c r="G26" s="589">
        <f ca="1"/>
        <v>2.9529817932835677E-3</v>
      </c>
      <c r="H26" s="589">
        <f ca="1"/>
        <v>2.7103023899329648E-3</v>
      </c>
      <c r="I26" s="589">
        <f ca="1"/>
        <v>0.88462206497699969</v>
      </c>
      <c r="J26" s="590">
        <f ca="1"/>
        <v>3.7241637319646075</v>
      </c>
      <c r="K26" s="590">
        <f ca="1"/>
        <v>3.9343271357428695</v>
      </c>
      <c r="L26" s="590">
        <f ca="1"/>
        <v>5.732659221570704</v>
      </c>
      <c r="M26" s="591">
        <f ca="1"/>
        <v>8.0796868126024606</v>
      </c>
      <c r="N26" s="591">
        <f ca="1"/>
        <v>10.999433797507535</v>
      </c>
      <c r="O26" s="591">
        <f ca="1"/>
        <v>7.8602492133986415</v>
      </c>
      <c r="P26" s="592">
        <f ca="1"/>
        <v>7.2522897670663733</v>
      </c>
      <c r="Q26" s="592">
        <f ca="1"/>
        <v>2.3756072499489065</v>
      </c>
      <c r="R26" s="592">
        <f ca="1"/>
        <v>2.0365582416410337</v>
      </c>
      <c r="S26" s="593">
        <f ca="1"/>
        <v>52.885260520603339</v>
      </c>
      <c r="T26" s="195">
        <f t="shared" ca="1" si="5"/>
        <v>1.0329350910027362</v>
      </c>
      <c r="U26" s="589">
        <f t="shared" ca="1" si="0"/>
        <v>0.89028534916021618</v>
      </c>
      <c r="V26" s="590">
        <f t="shared" ca="1" si="1"/>
        <v>13.391150089278181</v>
      </c>
      <c r="W26" s="591">
        <f t="shared" ca="1" si="2"/>
        <v>26.939369823508638</v>
      </c>
      <c r="X26" s="592">
        <f t="shared" ca="1" si="3"/>
        <v>11.664455258656313</v>
      </c>
    </row>
    <row r="27" spans="4:24" ht="16.2" customHeight="1" thickTop="1" thickBot="1" x14ac:dyDescent="0.35">
      <c r="D27" s="112"/>
      <c r="E27" s="193">
        <v>2022</v>
      </c>
      <c r="F27" s="194" t="str">
        <f t="shared" ca="1" si="4"/>
        <v>M</v>
      </c>
      <c r="G27" s="589">
        <f ca="1"/>
        <v>2.154886960962469</v>
      </c>
      <c r="H27" s="589">
        <f ca="1"/>
        <v>2.2955073825162207</v>
      </c>
      <c r="I27" s="589">
        <f ca="1"/>
        <v>5.7653561979422285</v>
      </c>
      <c r="J27" s="590">
        <f ca="1"/>
        <v>6.6934459769115779</v>
      </c>
      <c r="K27" s="590">
        <f ca="1"/>
        <v>7.0799558366248165</v>
      </c>
      <c r="L27" s="590">
        <f ca="1"/>
        <v>7.8087134460337166</v>
      </c>
      <c r="M27" s="591">
        <f ca="1"/>
        <v>9.6421535687874087</v>
      </c>
      <c r="N27" s="591">
        <f ca="1"/>
        <v>10.516988082955599</v>
      </c>
      <c r="O27" s="591">
        <f ca="1"/>
        <v>6.696321822153581</v>
      </c>
      <c r="P27" s="592">
        <f ca="1"/>
        <v>6.0589955953666488</v>
      </c>
      <c r="Q27" s="592">
        <f ca="1"/>
        <v>2.9845448962161316</v>
      </c>
      <c r="R27" s="592">
        <f ca="1"/>
        <v>2.2813545438715064</v>
      </c>
      <c r="S27" s="593">
        <f ca="1"/>
        <v>69.978224310341901</v>
      </c>
      <c r="T27" s="195">
        <f t="shared" ca="1" si="5"/>
        <v>0.32320846340691456</v>
      </c>
      <c r="U27" s="589">
        <f t="shared" ca="1" si="0"/>
        <v>10.215750541420919</v>
      </c>
      <c r="V27" s="590">
        <f t="shared" ca="1" si="1"/>
        <v>21.582115259570113</v>
      </c>
      <c r="W27" s="591">
        <f t="shared" ca="1" si="2"/>
        <v>26.855463473896588</v>
      </c>
      <c r="X27" s="592">
        <f t="shared" ca="1" si="3"/>
        <v>11.324895035454286</v>
      </c>
    </row>
    <row r="28" spans="4:24" ht="16.2" customHeight="1" thickTop="1" thickBot="1" x14ac:dyDescent="0.35">
      <c r="D28" s="112"/>
      <c r="E28" s="880" t="str">
        <f ca="1">$A$1</f>
        <v>VISITOR DAYS</v>
      </c>
      <c r="F28" s="879"/>
      <c r="G28" s="879"/>
      <c r="H28" s="879"/>
      <c r="I28" s="879"/>
      <c r="J28" s="879"/>
      <c r="K28" s="879"/>
      <c r="L28" s="879"/>
      <c r="M28" s="879"/>
      <c r="N28" s="879"/>
      <c r="O28" s="879"/>
      <c r="P28" s="879"/>
      <c r="Q28" s="879"/>
      <c r="R28" s="879"/>
      <c r="S28" s="880" t="str">
        <f>UPPER(TYPE.userselected)</f>
        <v>TOTAL</v>
      </c>
      <c r="T28" s="879"/>
      <c r="U28" s="879"/>
      <c r="V28" s="879"/>
      <c r="W28" s="879"/>
      <c r="X28" s="881"/>
    </row>
    <row r="29" spans="4:24" ht="16.2" customHeight="1" thickTop="1" thickBot="1" x14ac:dyDescent="0.35">
      <c r="D29" s="196" t="str">
        <f t="shared" ref="D29:D35" ca="1" si="6">"'"&amp;$A$1&amp;"'!"&amp;CELL("address",G29)&amp;":"&amp;CELL("address",OFFSET(G29,0,YEARSINREP-1))</f>
        <v>'VISITOR DAYS'!$G$29:$R$29</v>
      </c>
      <c r="E29" s="937" t="s">
        <v>120</v>
      </c>
      <c r="F29" s="938"/>
      <c r="G29" s="197">
        <f t="array" ref="G29:R29">TRANSPOSE(REP.yearsrange)</f>
        <v>2011</v>
      </c>
      <c r="H29" s="197">
        <v>2012</v>
      </c>
      <c r="I29" s="198">
        <v>2013</v>
      </c>
      <c r="J29" s="198">
        <v>2014</v>
      </c>
      <c r="K29" s="198">
        <v>2015</v>
      </c>
      <c r="L29" s="198">
        <v>2016</v>
      </c>
      <c r="M29" s="198">
        <v>2017</v>
      </c>
      <c r="N29" s="198">
        <v>2018</v>
      </c>
      <c r="O29" s="198">
        <v>2019</v>
      </c>
      <c r="P29" s="198">
        <v>2020</v>
      </c>
      <c r="Q29" s="198">
        <v>2021</v>
      </c>
      <c r="R29" s="198">
        <v>2022</v>
      </c>
      <c r="S29" s="198"/>
      <c r="T29" s="199"/>
      <c r="U29" s="199"/>
      <c r="V29" s="199"/>
      <c r="W29" s="199"/>
      <c r="X29" s="199"/>
    </row>
    <row r="30" spans="4:24" ht="16.2" customHeight="1" thickTop="1" thickBot="1" x14ac:dyDescent="0.35">
      <c r="D30" s="196" t="str">
        <f t="shared" ca="1" si="6"/>
        <v>'VISITOR DAYS'!$G$30:$R$30</v>
      </c>
      <c r="E30" s="200" t="str">
        <f>IF(TYPE.userselected="SFR",TYPE.userselected,PROPER(VISTYPE.short))</f>
        <v>Total</v>
      </c>
      <c r="F30" s="194" t="str">
        <f ca="1">$F$16</f>
        <v>M</v>
      </c>
      <c r="G30" s="587">
        <f t="array" ref="G30:R30" ca="1">TD.SHARE_VT_ANN</f>
        <v>60.344694689389542</v>
      </c>
      <c r="H30" s="587">
        <f ca="1"/>
        <v>58.478709478714649</v>
      </c>
      <c r="I30" s="587">
        <f ca="1"/>
        <v>61.211531576897045</v>
      </c>
      <c r="J30" s="587">
        <f ca="1"/>
        <v>62.274294890838938</v>
      </c>
      <c r="K30" s="587">
        <f ca="1"/>
        <v>63.874355948812322</v>
      </c>
      <c r="L30" s="587">
        <f ca="1"/>
        <v>64.696855086124785</v>
      </c>
      <c r="M30" s="587">
        <f ca="1"/>
        <v>66.707627274221522</v>
      </c>
      <c r="N30" s="587">
        <f ca="1"/>
        <v>67.928538411932593</v>
      </c>
      <c r="O30" s="587">
        <f ca="1"/>
        <v>69.972248432281134</v>
      </c>
      <c r="P30" s="587">
        <f ca="1"/>
        <v>26.014239586231906</v>
      </c>
      <c r="Q30" s="587">
        <f ca="1"/>
        <v>52.885260520603339</v>
      </c>
      <c r="R30" s="587">
        <f ca="1"/>
        <v>69.978224310341901</v>
      </c>
      <c r="S30" s="201"/>
      <c r="T30" s="199"/>
      <c r="U30" s="199"/>
      <c r="V30" s="199"/>
      <c r="W30" s="199"/>
      <c r="X30" s="199"/>
    </row>
    <row r="31" spans="4:24" ht="16.2" customHeight="1" thickTop="1" thickBot="1" x14ac:dyDescent="0.35">
      <c r="D31" s="196" t="str">
        <f t="shared" ca="1" si="6"/>
        <v>'VISITOR DAYS'!$G$31:$R$31</v>
      </c>
      <c r="E31" s="200" t="s">
        <v>96</v>
      </c>
      <c r="F31" s="194" t="str">
        <f>IF($A$4=1,"000s",IF(A4=1000,"M","Bn"))</f>
        <v>M</v>
      </c>
      <c r="G31" s="588">
        <f t="array" aca="1" ref="G31:R31" ca="1">TD.SHARE_TOTAL_ANN</f>
        <v>60.344694689389542</v>
      </c>
      <c r="H31" s="588">
        <f ca="1"/>
        <v>58.478709478714649</v>
      </c>
      <c r="I31" s="588">
        <f ca="1"/>
        <v>61.211531576897045</v>
      </c>
      <c r="J31" s="588">
        <f ca="1"/>
        <v>62.274294890838938</v>
      </c>
      <c r="K31" s="588">
        <f ca="1"/>
        <v>63.874355948812322</v>
      </c>
      <c r="L31" s="588">
        <f ca="1"/>
        <v>64.696855086124785</v>
      </c>
      <c r="M31" s="588">
        <f ca="1"/>
        <v>66.707627274221522</v>
      </c>
      <c r="N31" s="588">
        <f ca="1"/>
        <v>67.928538411932593</v>
      </c>
      <c r="O31" s="588">
        <f ca="1"/>
        <v>69.972248432281134</v>
      </c>
      <c r="P31" s="588">
        <f ca="1"/>
        <v>26.014239586231906</v>
      </c>
      <c r="Q31" s="588">
        <f ca="1"/>
        <v>52.885260520603339</v>
      </c>
      <c r="R31" s="588">
        <f ca="1"/>
        <v>69.978224310341901</v>
      </c>
      <c r="S31" s="202"/>
      <c r="T31" s="199"/>
      <c r="U31" s="199"/>
      <c r="V31" s="199"/>
      <c r="W31" s="199"/>
      <c r="X31" s="199"/>
    </row>
    <row r="32" spans="4:24" ht="16.2" customHeight="1" thickTop="1" thickBot="1" x14ac:dyDescent="0.35">
      <c r="D32" s="196" t="str">
        <f t="shared" ca="1" si="6"/>
        <v>'VISITOR DAYS'!$G$32:$R$32</v>
      </c>
      <c r="E32" s="200" t="s">
        <v>121</v>
      </c>
      <c r="F32" s="194" t="s">
        <v>117</v>
      </c>
      <c r="G32" s="135">
        <f t="array" ref="G32:R32" ca="1">IFERROR((TD.SHARE_VT_ANN*$A$2)/(TD.SHARE_TOTAL_ANN*$A$4),"")</f>
        <v>1</v>
      </c>
      <c r="H32" s="135">
        <f ca="1"/>
        <v>1</v>
      </c>
      <c r="I32" s="135">
        <f ca="1"/>
        <v>1</v>
      </c>
      <c r="J32" s="135">
        <f ca="1"/>
        <v>1</v>
      </c>
      <c r="K32" s="135">
        <f ca="1"/>
        <v>1</v>
      </c>
      <c r="L32" s="135">
        <f ca="1"/>
        <v>1</v>
      </c>
      <c r="M32" s="135">
        <f ca="1"/>
        <v>1</v>
      </c>
      <c r="N32" s="135">
        <f ca="1"/>
        <v>1</v>
      </c>
      <c r="O32" s="135">
        <f ca="1"/>
        <v>1</v>
      </c>
      <c r="P32" s="135">
        <f ca="1"/>
        <v>1</v>
      </c>
      <c r="Q32" s="135">
        <f ca="1"/>
        <v>1</v>
      </c>
      <c r="R32" s="135">
        <f ca="1"/>
        <v>1</v>
      </c>
      <c r="S32" s="135"/>
      <c r="T32" s="199"/>
      <c r="U32" s="199"/>
      <c r="V32" s="199"/>
      <c r="W32" s="199"/>
      <c r="X32" s="199"/>
    </row>
    <row r="33" spans="4:24" ht="16.2" customHeight="1" thickTop="1" thickBot="1" x14ac:dyDescent="0.35">
      <c r="D33" s="196" t="str">
        <f t="shared" ca="1" si="6"/>
        <v>'VISITOR DAYS'!$G$33:$R$33</v>
      </c>
      <c r="E33" s="200" t="s">
        <v>122</v>
      </c>
      <c r="F33" s="194" t="s">
        <v>117</v>
      </c>
      <c r="G33" s="195"/>
      <c r="H33" s="135">
        <f ca="1">IFERROR(H32/G32-1,"")</f>
        <v>0</v>
      </c>
      <c r="I33" s="135">
        <f t="shared" ref="I33:R33" ca="1" si="7">IFERROR(I32/H32-1,"")</f>
        <v>0</v>
      </c>
      <c r="J33" s="135">
        <f t="shared" ca="1" si="7"/>
        <v>0</v>
      </c>
      <c r="K33" s="135">
        <f t="shared" ca="1" si="7"/>
        <v>0</v>
      </c>
      <c r="L33" s="135">
        <f t="shared" ca="1" si="7"/>
        <v>0</v>
      </c>
      <c r="M33" s="135">
        <f t="shared" ca="1" si="7"/>
        <v>0</v>
      </c>
      <c r="N33" s="135">
        <f t="shared" ca="1" si="7"/>
        <v>0</v>
      </c>
      <c r="O33" s="135">
        <f t="shared" ca="1" si="7"/>
        <v>0</v>
      </c>
      <c r="P33" s="135">
        <f t="shared" ca="1" si="7"/>
        <v>0</v>
      </c>
      <c r="Q33" s="135">
        <f t="shared" ca="1" si="7"/>
        <v>0</v>
      </c>
      <c r="R33" s="135">
        <f t="shared" ca="1" si="7"/>
        <v>0</v>
      </c>
      <c r="S33" s="135"/>
      <c r="T33" s="199"/>
      <c r="U33" s="199"/>
      <c r="V33" s="199"/>
      <c r="W33" s="199"/>
      <c r="X33" s="199"/>
    </row>
    <row r="34" spans="4:24" ht="16.2" customHeight="1" thickTop="1" thickBot="1" x14ac:dyDescent="0.35">
      <c r="D34" s="196" t="str">
        <f t="shared" ca="1" si="6"/>
        <v>'VISITOR DAYS'!$G$34:$R$34</v>
      </c>
      <c r="E34" s="200" t="str">
        <f>"Change in Share from "&amp;MIN(REP.yearsrange)</f>
        <v>Change in Share from 2011</v>
      </c>
      <c r="F34" s="194" t="s">
        <v>117</v>
      </c>
      <c r="G34" s="195"/>
      <c r="H34" s="135">
        <f t="shared" ref="H34:R34" ca="1" si="8">IFERROR(H32/$G$32-1,"")</f>
        <v>0</v>
      </c>
      <c r="I34" s="135">
        <f t="shared" ca="1" si="8"/>
        <v>0</v>
      </c>
      <c r="J34" s="135">
        <f t="shared" ca="1" si="8"/>
        <v>0</v>
      </c>
      <c r="K34" s="135">
        <f t="shared" ca="1" si="8"/>
        <v>0</v>
      </c>
      <c r="L34" s="135">
        <f t="shared" ca="1" si="8"/>
        <v>0</v>
      </c>
      <c r="M34" s="135">
        <f t="shared" ca="1" si="8"/>
        <v>0</v>
      </c>
      <c r="N34" s="135">
        <f t="shared" ca="1" si="8"/>
        <v>0</v>
      </c>
      <c r="O34" s="135">
        <f t="shared" ca="1" si="8"/>
        <v>0</v>
      </c>
      <c r="P34" s="135">
        <f t="shared" ca="1" si="8"/>
        <v>0</v>
      </c>
      <c r="Q34" s="135">
        <f t="shared" ca="1" si="8"/>
        <v>0</v>
      </c>
      <c r="R34" s="135">
        <f t="shared" ca="1" si="8"/>
        <v>0</v>
      </c>
      <c r="S34" s="135"/>
      <c r="T34" s="199"/>
      <c r="U34" s="199"/>
      <c r="V34" s="199"/>
      <c r="W34" s="199"/>
      <c r="X34" s="199"/>
    </row>
    <row r="35" spans="4:24" ht="16.2" customHeight="1" thickTop="1" thickBot="1" x14ac:dyDescent="0.35">
      <c r="D35" s="196" t="str">
        <f t="shared" ca="1" si="6"/>
        <v>'VISITOR DAYS'!$G$35:$R$35</v>
      </c>
      <c r="E35" s="200" t="s">
        <v>146</v>
      </c>
      <c r="F35" s="194" t="s">
        <v>117</v>
      </c>
      <c r="G35" s="195"/>
      <c r="H35" s="135">
        <f ca="1">IFERROR(H34/(H$29-$G$29),"")</f>
        <v>0</v>
      </c>
      <c r="I35" s="135">
        <f t="shared" ref="I35:R35" ca="1" si="9">IFERROR(I34/(I$29-$G$29),"")</f>
        <v>0</v>
      </c>
      <c r="J35" s="135">
        <f t="shared" ca="1" si="9"/>
        <v>0</v>
      </c>
      <c r="K35" s="135">
        <f t="shared" ca="1" si="9"/>
        <v>0</v>
      </c>
      <c r="L35" s="135">
        <f t="shared" ca="1" si="9"/>
        <v>0</v>
      </c>
      <c r="M35" s="135">
        <f t="shared" ca="1" si="9"/>
        <v>0</v>
      </c>
      <c r="N35" s="135">
        <f t="shared" ca="1" si="9"/>
        <v>0</v>
      </c>
      <c r="O35" s="135">
        <f t="shared" ca="1" si="9"/>
        <v>0</v>
      </c>
      <c r="P35" s="135">
        <f t="shared" ca="1" si="9"/>
        <v>0</v>
      </c>
      <c r="Q35" s="135">
        <f t="shared" ca="1" si="9"/>
        <v>0</v>
      </c>
      <c r="R35" s="135">
        <f t="shared" ca="1" si="9"/>
        <v>0</v>
      </c>
      <c r="S35" s="135"/>
      <c r="T35" s="199"/>
      <c r="U35" s="199"/>
      <c r="V35" s="199"/>
      <c r="W35" s="199"/>
      <c r="X35" s="199"/>
    </row>
    <row r="36" spans="4:24" ht="16.2" customHeight="1" thickTop="1" thickBot="1" x14ac:dyDescent="0.35">
      <c r="D36" s="196"/>
      <c r="E36" s="663"/>
      <c r="F36" s="267"/>
      <c r="G36" s="195"/>
      <c r="H36" s="135"/>
      <c r="I36" s="135"/>
      <c r="J36" s="135"/>
      <c r="K36" s="135"/>
      <c r="L36" s="135"/>
      <c r="M36" s="135"/>
      <c r="N36" s="135"/>
      <c r="O36" s="135"/>
      <c r="P36" s="135"/>
      <c r="Q36" s="135"/>
      <c r="R36" s="135"/>
      <c r="S36" s="135"/>
      <c r="T36" s="199"/>
      <c r="U36" s="199"/>
      <c r="V36" s="199"/>
      <c r="W36" s="199"/>
      <c r="X36" s="199"/>
    </row>
    <row r="37" spans="4:24" ht="16.2" customHeight="1" thickTop="1" thickBot="1" x14ac:dyDescent="0.35">
      <c r="D37" s="112"/>
      <c r="E37" s="203" t="str">
        <f>IF(COUNT(REP.yearsrange)&lt;MAX(REP.yearnos),"Note: This report caters for a period of up to 12 years. Parts of this page are intentionally left blank to accommodate new data as it becomes available.","")</f>
        <v/>
      </c>
      <c r="F37" s="129"/>
      <c r="G37" s="129"/>
      <c r="H37" s="129"/>
      <c r="I37" s="129"/>
      <c r="J37" s="129"/>
      <c r="K37" s="129"/>
      <c r="L37" s="129"/>
      <c r="M37" s="129"/>
      <c r="N37" s="129"/>
      <c r="O37" s="129"/>
      <c r="P37" s="129"/>
      <c r="Q37" s="129"/>
      <c r="R37" s="129"/>
      <c r="S37" s="199"/>
      <c r="T37" s="199"/>
      <c r="U37" s="199"/>
      <c r="V37" s="199"/>
      <c r="W37" s="199"/>
      <c r="X37" s="199"/>
    </row>
    <row r="38" spans="4:24" s="42"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Ed5tGXXx94AIv6gvrPVCww4UUJ9SVq0TyjzMwONyjPJZToyy2Ub80XmYeCEar5lp40YZXf/c/GooEDvGxUa7sg==" saltValue="hPYXqlgHt1NxKo58xBN1wA==" spinCount="100000" sheet="1" objects="1" scenarios="1"/>
  <mergeCells count="26">
    <mergeCell ref="S6:T7"/>
    <mergeCell ref="U6:X7"/>
    <mergeCell ref="E13:F13"/>
    <mergeCell ref="T13:T16"/>
    <mergeCell ref="E14:F14"/>
    <mergeCell ref="E15:F15"/>
    <mergeCell ref="E8:F8"/>
    <mergeCell ref="G8:R8"/>
    <mergeCell ref="S8:T9"/>
    <mergeCell ref="P6:R7"/>
    <mergeCell ref="U8:X11"/>
    <mergeCell ref="E9:F9"/>
    <mergeCell ref="G9:R9"/>
    <mergeCell ref="E29:F29"/>
    <mergeCell ref="E10:F10"/>
    <mergeCell ref="G10:R10"/>
    <mergeCell ref="S10:S12"/>
    <mergeCell ref="T10:T12"/>
    <mergeCell ref="E11:F11"/>
    <mergeCell ref="G11:I11"/>
    <mergeCell ref="J11:L11"/>
    <mergeCell ref="M11:O11"/>
    <mergeCell ref="P11:R11"/>
    <mergeCell ref="E12:F12"/>
    <mergeCell ref="E28:R28"/>
    <mergeCell ref="S28:X28"/>
  </mergeCells>
  <conditionalFormatting sqref="E16:X27">
    <cfRule type="expression" dxfId="91" priority="8">
      <formula>$E16=0</formula>
    </cfRule>
  </conditionalFormatting>
  <conditionalFormatting sqref="F30:F36">
    <cfRule type="expression" dxfId="90" priority="50">
      <formula>$E30=0</formula>
    </cfRule>
  </conditionalFormatting>
  <conditionalFormatting sqref="G9:R9">
    <cfRule type="expression" dxfId="89" priority="16">
      <formula>TYPE.no=6</formula>
    </cfRule>
    <cfRule type="expression" dxfId="88" priority="17">
      <formula>TYPE.no=5</formula>
    </cfRule>
    <cfRule type="expression" dxfId="87" priority="18">
      <formula>TYPE.no=4</formula>
    </cfRule>
    <cfRule type="expression" dxfId="86" priority="19">
      <formula>TYPE.no=3</formula>
    </cfRule>
    <cfRule type="expression" dxfId="85" priority="20">
      <formula>TYPE.no=2</formula>
    </cfRule>
    <cfRule type="expression" dxfId="84" priority="21">
      <formula>TYPE.no=1</formula>
    </cfRule>
  </conditionalFormatting>
  <conditionalFormatting sqref="G13:S15">
    <cfRule type="expression" priority="4" stopIfTrue="1">
      <formula>G13=""</formula>
    </cfRule>
    <cfRule type="cellIs" dxfId="83" priority="5" operator="lessThanOrEqual">
      <formula>-REP.percenthighlight</formula>
    </cfRule>
    <cfRule type="cellIs" dxfId="82" priority="6" operator="greaterThanOrEqual">
      <formula>REP.percenthighlight</formula>
    </cfRule>
  </conditionalFormatting>
  <conditionalFormatting sqref="G16:S27 U16:X27 G30:R31">
    <cfRule type="expression" dxfId="81" priority="7">
      <formula>$A$2=1</formula>
    </cfRule>
    <cfRule type="expression" dxfId="80" priority="33">
      <formula>AND($A$2&gt;1,G16&lt;10)</formula>
    </cfRule>
  </conditionalFormatting>
  <conditionalFormatting sqref="G30:S34 H35:S36">
    <cfRule type="expression" dxfId="79" priority="43" stopIfTrue="1">
      <formula>G$29=0</formula>
    </cfRule>
  </conditionalFormatting>
  <conditionalFormatting sqref="G33:S34">
    <cfRule type="cellIs" dxfId="78" priority="46" operator="lessThanOrEqual">
      <formula>-REP.percenthighlight</formula>
    </cfRule>
    <cfRule type="cellIs" dxfId="77" priority="47" operator="greaterThanOrEqual">
      <formula>REP.percenthighlight</formula>
    </cfRule>
  </conditionalFormatting>
  <conditionalFormatting sqref="H35:S36">
    <cfRule type="cellIs" dxfId="76" priority="44" operator="lessThanOrEqual">
      <formula>-REP.percenthighlight</formula>
    </cfRule>
    <cfRule type="cellIs" dxfId="75" priority="45" operator="greaterThanOrEqual">
      <formula>REP.percenthighlight</formula>
    </cfRule>
  </conditionalFormatting>
  <conditionalFormatting sqref="I29:S29">
    <cfRule type="expression" dxfId="74" priority="48">
      <formula>I29=0</formula>
    </cfRule>
  </conditionalFormatting>
  <conditionalFormatting sqref="S6:T7">
    <cfRule type="expression" dxfId="73" priority="22">
      <formula>TYPE.no=6</formula>
    </cfRule>
    <cfRule type="expression" dxfId="72" priority="23">
      <formula>TYPE.no=5</formula>
    </cfRule>
    <cfRule type="expression" dxfId="71" priority="24">
      <formula>TYPE.no=4</formula>
    </cfRule>
    <cfRule type="expression" dxfId="70" priority="25">
      <formula>TYPE.no=3</formula>
    </cfRule>
    <cfRule type="expression" dxfId="69" priority="26">
      <formula>TYPE.no=2</formula>
    </cfRule>
    <cfRule type="expression" dxfId="68" priority="27">
      <formula>TYPE.no=1</formula>
    </cfRule>
  </conditionalFormatting>
  <conditionalFormatting sqref="S28:X28">
    <cfRule type="expression" dxfId="67" priority="10">
      <formula>TYPE.no=6</formula>
    </cfRule>
    <cfRule type="expression" dxfId="66" priority="11">
      <formula>TYPE.no=5</formula>
    </cfRule>
    <cfRule type="expression" dxfId="65" priority="12">
      <formula>TYPE.no=4</formula>
    </cfRule>
    <cfRule type="expression" dxfId="64" priority="13">
      <formula>TYPE.no=3</formula>
    </cfRule>
    <cfRule type="expression" dxfId="63" priority="14">
      <formula>TYPE.no=2</formula>
    </cfRule>
    <cfRule type="expression" dxfId="62" priority="15">
      <formula>TYPE.no=1</formula>
    </cfRule>
  </conditionalFormatting>
  <conditionalFormatting sqref="T17:T27">
    <cfRule type="cellIs" dxfId="61" priority="30" operator="greaterThanOrEqual">
      <formula>REP.percenthighlight</formula>
    </cfRule>
    <cfRule type="cellIs" dxfId="60" priority="31" operator="lessThanOrEqual">
      <formula>-REP.percenthighlight</formula>
    </cfRule>
  </conditionalFormatting>
  <conditionalFormatting sqref="U13:X15">
    <cfRule type="cellIs" dxfId="59" priority="2" operator="lessThanOrEqual">
      <formula>-REP.percenthighlight</formula>
    </cfRule>
    <cfRule type="cellIs" dxfId="58" priority="3" operator="greaterThanOrEqual">
      <formula>REP.percenthighlight</formula>
    </cfRule>
    <cfRule type="expression" priority="1" stopIfTrue="1">
      <formula>U13=""</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7764" r:id="rId4" name="Drop Down 4">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17766" r:id="rId5" name="Drop Down 6">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Output06">
    <tabColor theme="9" tint="0.39997558519241921"/>
    <outlinePr showOutlineSymbols="0"/>
    <pageSetUpPr autoPageBreaks="0" fitToPage="1"/>
  </sheetPr>
  <dimension ref="A1:AA70"/>
  <sheetViews>
    <sheetView showGridLines="0" showRowColHeaders="0" showZeros="0" showOutlineSymbols="0" topLeftCell="A2" zoomScaleNormal="100" workbookViewId="0">
      <pane ySplit="6" topLeftCell="A8" activePane="bottomLeft" state="frozen"/>
      <selection activeCell="G33" sqref="G33:G35"/>
      <selection pane="bottomLeft" activeCell="Z16" sqref="Z16"/>
    </sheetView>
  </sheetViews>
  <sheetFormatPr defaultColWidth="4.88671875" defaultRowHeight="16.2" customHeight="1" x14ac:dyDescent="0.3"/>
  <cols>
    <col min="1" max="3" width="4.88671875" style="39"/>
    <col min="4" max="4" width="4.88671875" style="40"/>
    <col min="5" max="5" width="19.5546875" style="39" customWidth="1"/>
    <col min="6" max="6" width="5.109375" style="39" customWidth="1"/>
    <col min="7" max="24" width="7.33203125" style="39" customWidth="1"/>
    <col min="25" max="25" width="4.88671875" style="39"/>
    <col min="26" max="26" width="8.44140625" style="39" bestFit="1" customWidth="1"/>
    <col min="27" max="27" width="7.6640625" style="39" bestFit="1" customWidth="1"/>
    <col min="28" max="16384" width="4.88671875" style="39"/>
  </cols>
  <sheetData>
    <row r="1" spans="1:27" ht="16.2" hidden="1" customHeight="1" x14ac:dyDescent="0.3">
      <c r="A1" s="37" t="str">
        <f ca="1">MID(CELL("filename",A1),FIND("]",CELL("filename",A1))+1,255)</f>
        <v>EMPLOYMENT</v>
      </c>
      <c r="E1" s="53"/>
      <c r="F1" s="54"/>
      <c r="G1" s="54"/>
      <c r="H1" s="54"/>
      <c r="I1" s="54"/>
      <c r="J1" s="54"/>
      <c r="K1" s="54"/>
      <c r="L1" s="54"/>
      <c r="M1" s="54"/>
      <c r="N1" s="54"/>
      <c r="O1" s="54"/>
      <c r="P1" s="54"/>
      <c r="Q1" s="54"/>
      <c r="R1" s="54"/>
      <c r="S1" s="54"/>
      <c r="T1" s="54"/>
      <c r="U1" s="54"/>
      <c r="V1" s="54"/>
      <c r="W1" s="54"/>
      <c r="X1" s="55"/>
    </row>
    <row r="2" spans="1:27" ht="16.2" customHeight="1" thickTop="1" x14ac:dyDescent="0.3">
      <c r="A2" s="618"/>
      <c r="B2" s="618"/>
      <c r="C2" s="618"/>
      <c r="D2" s="622"/>
      <c r="E2" s="44"/>
      <c r="F2" s="45"/>
      <c r="G2" s="45"/>
      <c r="H2" s="45"/>
      <c r="I2" s="45"/>
      <c r="J2" s="45"/>
      <c r="K2" s="45"/>
      <c r="L2" s="45"/>
      <c r="M2" s="45"/>
      <c r="N2" s="45"/>
      <c r="O2" s="45"/>
      <c r="P2" s="45"/>
      <c r="Q2" s="45"/>
      <c r="R2" s="45"/>
      <c r="S2" s="45"/>
      <c r="T2" s="45"/>
      <c r="U2" s="45"/>
      <c r="V2" s="45"/>
      <c r="W2" s="45"/>
      <c r="X2" s="46"/>
    </row>
    <row r="3" spans="1:27" ht="26.4" customHeight="1" x14ac:dyDescent="0.3">
      <c r="A3" s="618"/>
      <c r="B3" s="618"/>
      <c r="C3" s="618"/>
      <c r="D3" s="622"/>
      <c r="E3" s="47"/>
      <c r="F3" s="43"/>
      <c r="G3" s="43"/>
      <c r="H3" s="43"/>
      <c r="I3" s="43"/>
      <c r="J3" s="43"/>
      <c r="K3" s="43"/>
      <c r="L3" s="43"/>
      <c r="M3" s="43"/>
      <c r="N3" s="43"/>
      <c r="O3" s="43"/>
      <c r="P3" s="43"/>
      <c r="Q3" s="43"/>
      <c r="R3" s="43"/>
      <c r="S3" s="43"/>
      <c r="T3" s="43"/>
      <c r="U3" s="43"/>
      <c r="V3" s="43"/>
      <c r="W3" s="43"/>
      <c r="X3" s="48"/>
    </row>
    <row r="4" spans="1:27" ht="26.4" customHeight="1" x14ac:dyDescent="0.3">
      <c r="A4" s="618"/>
      <c r="B4" s="618"/>
      <c r="C4" s="618"/>
      <c r="D4" s="622"/>
      <c r="E4" s="58"/>
      <c r="F4" s="59"/>
      <c r="G4" s="59"/>
      <c r="H4" s="59"/>
      <c r="I4" s="59"/>
      <c r="J4" s="59"/>
      <c r="K4" s="59"/>
      <c r="L4" s="59"/>
      <c r="M4" s="59"/>
      <c r="N4" s="59"/>
      <c r="O4" s="59"/>
      <c r="P4" s="59"/>
      <c r="Q4" s="59"/>
      <c r="R4" s="59"/>
      <c r="S4" s="59"/>
      <c r="T4" s="59"/>
      <c r="U4" s="59"/>
      <c r="V4" s="59"/>
      <c r="W4" s="59"/>
      <c r="X4" s="60"/>
    </row>
    <row r="5" spans="1:27" ht="26.4" customHeight="1" thickBot="1" x14ac:dyDescent="0.35">
      <c r="A5" s="618"/>
      <c r="B5" s="618"/>
      <c r="C5" s="618"/>
      <c r="D5" s="622"/>
      <c r="E5" s="50"/>
      <c r="F5" s="51"/>
      <c r="G5" s="51"/>
      <c r="H5" s="51"/>
      <c r="I5" s="51"/>
      <c r="J5" s="51"/>
      <c r="K5" s="51"/>
      <c r="L5" s="51"/>
      <c r="M5" s="51"/>
      <c r="N5" s="51"/>
      <c r="O5" s="51"/>
      <c r="P5" s="51"/>
      <c r="Q5" s="51"/>
      <c r="R5" s="51"/>
      <c r="S5" s="51"/>
      <c r="T5" s="51"/>
      <c r="U5" s="51"/>
      <c r="V5" s="51"/>
      <c r="W5" s="51"/>
      <c r="X5" s="52"/>
    </row>
    <row r="6" spans="1:27" ht="16.2" customHeight="1" thickTop="1" x14ac:dyDescent="0.3">
      <c r="E6" s="399" t="str">
        <f>REP.title1</f>
        <v>STEAM FINAL TREND REPORT FOR 2011-2022</v>
      </c>
      <c r="F6" s="400"/>
      <c r="G6" s="400"/>
      <c r="H6" s="400"/>
      <c r="I6" s="400"/>
      <c r="J6" s="400"/>
      <c r="K6" s="400"/>
      <c r="L6" s="400"/>
      <c r="M6" s="400"/>
      <c r="N6" s="400"/>
      <c r="O6" s="401"/>
      <c r="P6" s="1067" t="str">
        <f>MIN(REP.yearsrange)&amp;" to "&amp;MAX(REP.yearsrange)</f>
        <v>2011 to 2022</v>
      </c>
      <c r="Q6" s="1068"/>
      <c r="R6" s="1069"/>
      <c r="S6" s="948" t="str">
        <f>UPPER(VISTYPE.short)</f>
        <v>TOTAL</v>
      </c>
      <c r="T6" s="949"/>
      <c r="U6" s="1043" t="str">
        <f ca="1">IF(TYPE.no=1,"TOTAL "&amp;$A$1,"DIRECT "&amp;$A$1)</f>
        <v>TOTAL EMPLOYMENT</v>
      </c>
      <c r="V6" s="1044"/>
      <c r="W6" s="1044"/>
      <c r="X6" s="1045"/>
    </row>
    <row r="7" spans="1:27" ht="16.2" customHeight="1" thickBot="1" x14ac:dyDescent="0.35">
      <c r="E7" s="402" t="str">
        <f>REP.title2</f>
        <v>NORTH WALES</v>
      </c>
      <c r="F7" s="403"/>
      <c r="G7" s="403"/>
      <c r="H7" s="403"/>
      <c r="I7" s="404"/>
      <c r="J7" s="404"/>
      <c r="K7" s="404"/>
      <c r="L7" s="404"/>
      <c r="M7" s="404"/>
      <c r="N7" s="404"/>
      <c r="O7" s="405"/>
      <c r="P7" s="1070"/>
      <c r="Q7" s="1071"/>
      <c r="R7" s="1072"/>
      <c r="S7" s="950"/>
      <c r="T7" s="951"/>
      <c r="U7" s="1046"/>
      <c r="V7" s="1047"/>
      <c r="W7" s="1047"/>
      <c r="X7" s="1048"/>
    </row>
    <row r="8" spans="1:27" ht="16.2" customHeight="1" thickTop="1" thickBot="1" x14ac:dyDescent="0.35">
      <c r="E8" s="1049" t="str">
        <f ca="1">$A$1&amp;" BY:"</f>
        <v>EMPLOYMENT BY:</v>
      </c>
      <c r="F8" s="1050"/>
      <c r="G8" s="1049" t="s">
        <v>132</v>
      </c>
      <c r="H8" s="1051"/>
      <c r="I8" s="1051"/>
      <c r="J8" s="1051"/>
      <c r="K8" s="1051"/>
      <c r="L8" s="1051"/>
      <c r="M8" s="1051"/>
      <c r="N8" s="1051"/>
      <c r="O8" s="1051"/>
      <c r="P8" s="1051"/>
      <c r="Q8" s="1051"/>
      <c r="R8" s="1051"/>
      <c r="S8" s="1052" t="s">
        <v>123</v>
      </c>
      <c r="T8" s="1053"/>
      <c r="U8" s="1056" t="s">
        <v>124</v>
      </c>
      <c r="V8" s="1057"/>
      <c r="W8" s="1057"/>
      <c r="X8" s="1058"/>
    </row>
    <row r="9" spans="1:27" s="35" customFormat="1" ht="16.2" customHeight="1" thickTop="1" thickBot="1" x14ac:dyDescent="0.35">
      <c r="E9" s="1065" t="s">
        <v>90</v>
      </c>
      <c r="F9" s="1066"/>
      <c r="G9" s="982" t="str">
        <f>UPPER(TYPE.userselected)</f>
        <v>TOTAL</v>
      </c>
      <c r="H9" s="982"/>
      <c r="I9" s="982"/>
      <c r="J9" s="982"/>
      <c r="K9" s="982"/>
      <c r="L9" s="982"/>
      <c r="M9" s="982"/>
      <c r="N9" s="982"/>
      <c r="O9" s="982"/>
      <c r="P9" s="982"/>
      <c r="Q9" s="982"/>
      <c r="R9" s="983"/>
      <c r="S9" s="1054"/>
      <c r="T9" s="1055"/>
      <c r="U9" s="1059"/>
      <c r="V9" s="1060"/>
      <c r="W9" s="1060"/>
      <c r="X9" s="1061"/>
    </row>
    <row r="10" spans="1:27" s="35" customFormat="1" ht="16.2" customHeight="1" thickTop="1" thickBot="1" x14ac:dyDescent="0.35">
      <c r="E10" s="1075" t="str">
        <f>REP.highlightup</f>
        <v>An increase of 3% or more</v>
      </c>
      <c r="F10" s="1076"/>
      <c r="G10" s="1049" t="str">
        <f ca="1">U6&amp;" IN FULL TIME EQUIVALENTS (FTEs) / PERCENTAGE CHANGES"</f>
        <v>TOTAL EMPLOYMENT IN FULL TIME EQUIVALENTS (FTEs) / PERCENTAGE CHANGES</v>
      </c>
      <c r="H10" s="1051"/>
      <c r="I10" s="1051"/>
      <c r="J10" s="1051"/>
      <c r="K10" s="1051"/>
      <c r="L10" s="1051"/>
      <c r="M10" s="1051"/>
      <c r="N10" s="1051"/>
      <c r="O10" s="1051"/>
      <c r="P10" s="1051"/>
      <c r="Q10" s="1051"/>
      <c r="R10" s="1050"/>
      <c r="S10" s="1077" t="s">
        <v>38</v>
      </c>
      <c r="T10" s="1077" t="s">
        <v>118</v>
      </c>
      <c r="U10" s="1059"/>
      <c r="V10" s="1060"/>
      <c r="W10" s="1060"/>
      <c r="X10" s="1061"/>
    </row>
    <row r="11" spans="1:27" s="35" customFormat="1" ht="16.2" customHeight="1" thickTop="1" thickBot="1" x14ac:dyDescent="0.35">
      <c r="E11" s="1080" t="str">
        <f>REP.highlightsame</f>
        <v>Less than 3% change</v>
      </c>
      <c r="F11" s="1081"/>
      <c r="G11" s="1082" t="s">
        <v>91</v>
      </c>
      <c r="H11" s="1083"/>
      <c r="I11" s="1084"/>
      <c r="J11" s="1085" t="s">
        <v>92</v>
      </c>
      <c r="K11" s="1086"/>
      <c r="L11" s="1087"/>
      <c r="M11" s="1088" t="s">
        <v>93</v>
      </c>
      <c r="N11" s="1089"/>
      <c r="O11" s="1090"/>
      <c r="P11" s="1091" t="s">
        <v>94</v>
      </c>
      <c r="Q11" s="1092"/>
      <c r="R11" s="1093"/>
      <c r="S11" s="1078"/>
      <c r="T11" s="1078"/>
      <c r="U11" s="1062"/>
      <c r="V11" s="1063"/>
      <c r="W11" s="1063"/>
      <c r="X11" s="1064"/>
    </row>
    <row r="12" spans="1:27" ht="16.2" customHeight="1" thickTop="1" thickBot="1" x14ac:dyDescent="0.35">
      <c r="E12" s="1094" t="str">
        <f>REP.highlightdown</f>
        <v>A Fall of 3% or more</v>
      </c>
      <c r="F12" s="1095"/>
      <c r="G12" s="66" t="s">
        <v>26</v>
      </c>
      <c r="H12" s="66" t="s">
        <v>27</v>
      </c>
      <c r="I12" s="66" t="s">
        <v>28</v>
      </c>
      <c r="J12" s="67" t="s">
        <v>29</v>
      </c>
      <c r="K12" s="67" t="s">
        <v>30</v>
      </c>
      <c r="L12" s="67" t="s">
        <v>31</v>
      </c>
      <c r="M12" s="65" t="s">
        <v>32</v>
      </c>
      <c r="N12" s="65" t="s">
        <v>33</v>
      </c>
      <c r="O12" s="65" t="s">
        <v>34</v>
      </c>
      <c r="P12" s="64" t="s">
        <v>35</v>
      </c>
      <c r="Q12" s="64" t="s">
        <v>36</v>
      </c>
      <c r="R12" s="64" t="s">
        <v>37</v>
      </c>
      <c r="S12" s="1079"/>
      <c r="T12" s="1079"/>
      <c r="U12" s="68" t="s">
        <v>91</v>
      </c>
      <c r="V12" s="69" t="s">
        <v>92</v>
      </c>
      <c r="W12" s="70" t="s">
        <v>93</v>
      </c>
      <c r="X12" s="71" t="s">
        <v>94</v>
      </c>
    </row>
    <row r="13" spans="1:27" ht="16.2" customHeight="1" thickTop="1" thickBot="1" x14ac:dyDescent="0.35">
      <c r="E13" s="1042" t="str">
        <f>"% Change "&amp;MIN(REP.yearsrange)&amp;" to "&amp;MAX(REP.yearsrange)</f>
        <v>% Change 2011 to 2022</v>
      </c>
      <c r="F13" s="1042"/>
      <c r="G13" s="135">
        <f ca="1">IFERROR(INDEX(G$16:G$27,MATCH(MAX(REP.yearsrange),$E$16:$E$27,0))/INDEX(G$16:G$27,MATCH(MIN(REP.yearsrange),$E$16:$E$27,0))-1,"")</f>
        <v>0.36549662155888929</v>
      </c>
      <c r="H13" s="135">
        <f ca="1">IFERROR(INDEX(H$16:H$27,MATCH(MAX(REP.yearsrange),$E$16:$E$27,0))/INDEX(H$16:H$27,MATCH(MIN(REP.yearsrange),$E$16:$E$27,0))-1,"")</f>
        <v>0.41399835909035487</v>
      </c>
      <c r="I13" s="135">
        <f ca="1">IFERROR(INDEX(I$16:I$27,MATCH(MAX(REP.yearsrange),$E$16:$E$27,0))/INDEX(I$16:I$27,MATCH(MIN(REP.yearsrange),$E$16:$E$27,0))-1,"")</f>
        <v>0.76805037557836964</v>
      </c>
      <c r="J13" s="135">
        <f ca="1">IFERROR(INDEX(J$16:J$27,MATCH(MAX(REP.yearsrange),$E$16:$E$27,0))/INDEX(J$16:J$27,MATCH(MIN(REP.yearsrange),$E$16:$E$27,0))-1,"")</f>
        <v>-8.4679358933310023E-2</v>
      </c>
      <c r="K13" s="135">
        <f ca="1">IFERROR(INDEX(K$16:K$27,MATCH(MAX(REP.yearsrange),$E$16:$E$27,0))/INDEX(K$16:K$27,MATCH(MIN(REP.yearsrange),$E$16:$E$27,0))-1,"")</f>
        <v>-2.6580760377188706E-2</v>
      </c>
      <c r="L13" s="135">
        <f ca="1">IFERROR(INDEX(L$16:L$27,MATCH(MAX(REP.yearsrange),$E$16:$E$27,0))/INDEX(L$16:L$27,MATCH(MIN(REP.yearsrange),$E$16:$E$27,0))-1,"")</f>
        <v>-2.1066356256312146E-2</v>
      </c>
      <c r="M13" s="135">
        <f ca="1">IFERROR(INDEX(M$16:M$27,MATCH(MAX(REP.yearsrange),$E$16:$E$27,0))/INDEX(M$16:M$27,MATCH(MIN(REP.yearsrange),$E$16:$E$27,0))-1,"")</f>
        <v>-9.7534644811407833E-3</v>
      </c>
      <c r="N13" s="135">
        <f ca="1">IFERROR(INDEX(N$16:N$27,MATCH(MAX(REP.yearsrange),$E$16:$E$27,0))/INDEX(N$16:N$27,MATCH(MIN(REP.yearsrange),$E$16:$E$27,0))-1,"")</f>
        <v>-1.8163135937721564E-2</v>
      </c>
      <c r="O13" s="135">
        <f ca="1">IFERROR(INDEX(O$16:O$27,MATCH(MAX(REP.yearsrange),$E$16:$E$27,0))/INDEX(O$16:O$27,MATCH(MIN(REP.yearsrange),$E$16:$E$27,0))-1,"")</f>
        <v>-3.612796944225305E-2</v>
      </c>
      <c r="P13" s="135">
        <f ca="1">IFERROR(INDEX(P$16:P$27,MATCH(MAX(REP.yearsrange),$E$16:$E$27,0))/INDEX(P$16:P$27,MATCH(MIN(REP.yearsrange),$E$16:$E$27,0))-1,"")</f>
        <v>0.10665981911412814</v>
      </c>
      <c r="Q13" s="135">
        <f ca="1">IFERROR(INDEX(Q$16:Q$27,MATCH(MAX(REP.yearsrange),$E$16:$E$27,0))/INDEX(Q$16:Q$27,MATCH(MIN(REP.yearsrange),$E$16:$E$27,0))-1,"")</f>
        <v>0.33673602821328164</v>
      </c>
      <c r="R13" s="135">
        <f ca="1">IFERROR(INDEX(R$16:R$27,MATCH(MAX(REP.yearsrange),$E$16:$E$27,0))/INDEX(R$16:R$27,MATCH(MIN(REP.yearsrange),$E$16:$E$27,0))-1,"")</f>
        <v>0.33460887232917047</v>
      </c>
      <c r="S13" s="135">
        <f ca="1">IFERROR(INDEX(S$16:S$27,MATCH(MAX(REP.yearsrange),$E$16:$E$27,0))/INDEX(S$16:S$27,MATCH(MIN(REP.yearsrange),$E$16:$E$27,0))-1,"")</f>
        <v>7.9860699715991412E-2</v>
      </c>
      <c r="T13" s="1096" t="str">
        <f>"Annual"&amp;CHAR(10)&amp;"Change"</f>
        <v>Annual
Change</v>
      </c>
      <c r="U13" s="135">
        <f ca="1">IFERROR(INDEX(U$16:U$27,MATCH(MAX(REP.yearsrange),$E$16:$E$27,0))/INDEX(U$16:U$27,MATCH(MIN(REP.yearsrange),$E$16:$E$27,0))-1,"")</f>
        <v>0.54870315602484809</v>
      </c>
      <c r="V13" s="135">
        <f ca="1">IFERROR(INDEX(V$16:V$27,MATCH(MAX(REP.yearsrange),$E$16:$E$27,0))/INDEX(V$16:V$27,MATCH(MIN(REP.yearsrange),$E$16:$E$27,0))-1,"")</f>
        <v>-4.3822210519571247E-2</v>
      </c>
      <c r="W13" s="135">
        <f ca="1">IFERROR(INDEX(W$16:W$27,MATCH(MAX(REP.yearsrange),$E$16:$E$27,0))/INDEX(W$16:W$27,MATCH(MIN(REP.yearsrange),$E$16:$E$27,0))-1,"")</f>
        <v>-2.0079462457095021E-2</v>
      </c>
      <c r="X13" s="135">
        <f ca="1">IFERROR(INDEX(X$16:X$27,MATCH(MAX(REP.yearsrange),$E$16:$E$27,0))/INDEX(X$16:X$27,MATCH(MIN(REP.yearsrange),$E$16:$E$27,0))-1,"")</f>
        <v>0.21818246942072106</v>
      </c>
    </row>
    <row r="14" spans="1:27" ht="16.2" customHeight="1" thickTop="1" thickBot="1" x14ac:dyDescent="0.35">
      <c r="E14" s="1042" t="str">
        <f>"% Change "&amp;INDEX(REP.yearsrange,COUNT(REP.yearsrange)-1)&amp;" to "&amp;MAX(REP.yearsrange)</f>
        <v>% Change 2021 to 2022</v>
      </c>
      <c r="F14" s="1042"/>
      <c r="G14" s="135">
        <f ca="1">IFERROR(INDEX(G$16:G$27,MATCH(MAX(REP.yearsrange),$E$16:$E$27,0))/INDEX(G$16:G$27,MATCH(INDEX(REP.yearsrange,COUNT(REP.yearsrange)-1),$E$16:$E$27,0))-1,"")</f>
        <v>1167.6258943212258</v>
      </c>
      <c r="H14" s="135">
        <f ca="1">IFERROR(INDEX(H$16:H$27,MATCH(MAX(REP.yearsrange),$E$16:$E$27,0))/INDEX(H$16:H$27,MATCH(INDEX(REP.yearsrange,COUNT(REP.yearsrange)-1),$E$16:$E$27,0))-1,"")</f>
        <v>1443.5664264732663</v>
      </c>
      <c r="I14" s="135">
        <f ca="1">IFERROR(INDEX(I$16:I$27,MATCH(MAX(REP.yearsrange),$E$16:$E$27,0))/INDEX(I$16:I$27,MATCH(INDEX(REP.yearsrange,COUNT(REP.yearsrange)-1),$E$16:$E$27,0))-1,"")</f>
        <v>6.1098925622412406</v>
      </c>
      <c r="J14" s="135">
        <f ca="1">IFERROR(INDEX(J$16:J$27,MATCH(MAX(REP.yearsrange),$E$16:$E$27,0))/INDEX(J$16:J$27,MATCH(INDEX(REP.yearsrange,COUNT(REP.yearsrange)-1),$E$16:$E$27,0))-1,"")</f>
        <v>1.0452912672491528</v>
      </c>
      <c r="K14" s="135">
        <f ca="1">IFERROR(INDEX(K$16:K$27,MATCH(MAX(REP.yearsrange),$E$16:$E$27,0))/INDEX(K$16:K$27,MATCH(INDEX(REP.yearsrange,COUNT(REP.yearsrange)-1),$E$16:$E$27,0))-1,"")</f>
        <v>0.7998479756811141</v>
      </c>
      <c r="L14" s="135">
        <f ca="1">IFERROR(INDEX(L$16:L$27,MATCH(MAX(REP.yearsrange),$E$16:$E$27,0))/INDEX(L$16:L$27,MATCH(INDEX(REP.yearsrange,COUNT(REP.yearsrange)-1),$E$16:$E$27,0))-1,"")</f>
        <v>0.10739867770014699</v>
      </c>
      <c r="M14" s="135">
        <f ca="1">IFERROR(INDEX(M$16:M$27,MATCH(MAX(REP.yearsrange),$E$16:$E$27,0))/INDEX(M$16:M$27,MATCH(INDEX(REP.yearsrange,COUNT(REP.yearsrange)-1),$E$16:$E$27,0))-1,"")</f>
        <v>9.6047647188697294E-3</v>
      </c>
      <c r="N14" s="135">
        <f ca="1">IFERROR(INDEX(N$16:N$27,MATCH(MAX(REP.yearsrange),$E$16:$E$27,0))/INDEX(N$16:N$27,MATCH(INDEX(REP.yearsrange,COUNT(REP.yearsrange)-1),$E$16:$E$27,0))-1,"")</f>
        <v>-0.12014393755685304</v>
      </c>
      <c r="O14" s="135">
        <f ca="1">IFERROR(INDEX(O$16:O$27,MATCH(MAX(REP.yearsrange),$E$16:$E$27,0))/INDEX(O$16:O$27,MATCH(INDEX(REP.yearsrange,COUNT(REP.yearsrange)-1),$E$16:$E$27,0))-1,"")</f>
        <v>-0.18088844887913746</v>
      </c>
      <c r="P14" s="135">
        <f ca="1">IFERROR(INDEX(P$16:P$27,MATCH(MAX(REP.yearsrange),$E$16:$E$27,0))/INDEX(P$16:P$27,MATCH(INDEX(REP.yearsrange,COUNT(REP.yearsrange)-1),$E$16:$E$27,0))-1,"")</f>
        <v>-0.15454159039824333</v>
      </c>
      <c r="Q14" s="135">
        <f ca="1">IFERROR(INDEX(Q$16:Q$27,MATCH(MAX(REP.yearsrange),$E$16:$E$27,0))/INDEX(Q$16:Q$27,MATCH(INDEX(REP.yearsrange,COUNT(REP.yearsrange)-1),$E$16:$E$27,0))-1,"")</f>
        <v>8.3265025013810501E-2</v>
      </c>
      <c r="R14" s="135">
        <f ca="1">IFERROR(INDEX(R$16:R$27,MATCH(MAX(REP.yearsrange),$E$16:$E$27,0))/INDEX(R$16:R$27,MATCH(INDEX(REP.yearsrange,COUNT(REP.yearsrange)-1),$E$16:$E$27,0))-1,"")</f>
        <v>1.6663875952514839E-2</v>
      </c>
      <c r="S14" s="135">
        <f ca="1">IFERROR(INDEX(S$16:S$27,MATCH(MAX(REP.yearsrange),$E$16:$E$27,0))/INDEX(S$16:S$27,MATCH(INDEX(REP.yearsrange,COUNT(REP.yearsrange)-1),$E$16:$E$27,0))-1,"")</f>
        <v>0.27335023652982082</v>
      </c>
      <c r="T14" s="1096"/>
      <c r="U14" s="135">
        <f ca="1">IFERROR(INDEX(U$16:U$27,MATCH(MAX(REP.yearsrange),$E$16:$E$27,0))/INDEX(U$16:U$27,MATCH(INDEX(REP.yearsrange,COUNT(REP.yearsrange)-1),$E$16:$E$27,0))-1,"")</f>
        <v>13.798779628858645</v>
      </c>
      <c r="V14" s="135">
        <f ca="1">IFERROR(INDEX(V$16:V$27,MATCH(MAX(REP.yearsrange),$E$16:$E$27,0))/INDEX(V$16:V$27,MATCH(INDEX(REP.yearsrange,COUNT(REP.yearsrange)-1),$E$16:$E$27,0))-1,"")</f>
        <v>0.51931842623699032</v>
      </c>
      <c r="W14" s="135">
        <f ca="1">IFERROR(INDEX(W$16:W$27,MATCH(MAX(REP.yearsrange),$E$16:$E$27,0))/INDEX(W$16:W$27,MATCH(INDEX(REP.yearsrange,COUNT(REP.yearsrange)-1),$E$16:$E$27,0))-1,"")</f>
        <v>-9.6999955020257711E-2</v>
      </c>
      <c r="X14" s="135">
        <f ca="1">IFERROR(INDEX(X$16:X$27,MATCH(MAX(REP.yearsrange),$E$16:$E$27,0))/INDEX(X$16:X$27,MATCH(INDEX(REP.yearsrange,COUNT(REP.yearsrange)-1),$E$16:$E$27,0))-1,"")</f>
        <v>-5.5776542676665875E-2</v>
      </c>
    </row>
    <row r="15" spans="1:27" ht="16.2" customHeight="1" thickTop="1" thickBot="1" x14ac:dyDescent="0.35">
      <c r="E15" s="1042" t="s">
        <v>116</v>
      </c>
      <c r="F15" s="1042"/>
      <c r="G15" s="135">
        <f ca="1">IFERROR(G13/(MAX(REP.yearsrange)-MIN(REP.yearsrange)),"")</f>
        <v>3.3226965596262661E-2</v>
      </c>
      <c r="H15" s="135">
        <f ca="1">IFERROR(H13/(MAX(REP.yearsrange)-MIN(REP.yearsrange)),"")</f>
        <v>3.7636214462759533E-2</v>
      </c>
      <c r="I15" s="135">
        <f ca="1">IFERROR(I13/(MAX(REP.yearsrange)-MIN(REP.yearsrange)),"")</f>
        <v>6.982276141621542E-2</v>
      </c>
      <c r="J15" s="135">
        <f ca="1">IFERROR(J13/(MAX(REP.yearsrange)-MIN(REP.yearsrange)),"")</f>
        <v>-7.6981235393918206E-3</v>
      </c>
      <c r="K15" s="135">
        <f ca="1">IFERROR(K13/(MAX(REP.yearsrange)-MIN(REP.yearsrange)),"")</f>
        <v>-2.4164327615626095E-3</v>
      </c>
      <c r="L15" s="135">
        <f ca="1">IFERROR(L13/(MAX(REP.yearsrange)-MIN(REP.yearsrange)),"")</f>
        <v>-1.9151232960283769E-3</v>
      </c>
      <c r="M15" s="135">
        <f ca="1">IFERROR(M13/(MAX(REP.yearsrange)-MIN(REP.yearsrange)),"")</f>
        <v>-8.8667858919461672E-4</v>
      </c>
      <c r="N15" s="135">
        <f ca="1">IFERROR(N13/(MAX(REP.yearsrange)-MIN(REP.yearsrange)),"")</f>
        <v>-1.6511941761565058E-3</v>
      </c>
      <c r="O15" s="135">
        <f ca="1">IFERROR(O13/(MAX(REP.yearsrange)-MIN(REP.yearsrange)),"")</f>
        <v>-3.2843608583866409E-3</v>
      </c>
      <c r="P15" s="135">
        <f ca="1">IFERROR(P13/(MAX(REP.yearsrange)-MIN(REP.yearsrange)),"")</f>
        <v>9.696347192193467E-3</v>
      </c>
      <c r="Q15" s="135">
        <f ca="1">IFERROR(Q13/(MAX(REP.yearsrange)-MIN(REP.yearsrange)),"")</f>
        <v>3.0612366201207421E-2</v>
      </c>
      <c r="R15" s="135">
        <f ca="1">IFERROR(R13/(MAX(REP.yearsrange)-MIN(REP.yearsrange)),"")</f>
        <v>3.0418988393560952E-2</v>
      </c>
      <c r="S15" s="135">
        <f ca="1">IFERROR(S13/(MAX(REP.yearsrange)-MIN(REP.yearsrange)),"")</f>
        <v>7.2600636105446736E-3</v>
      </c>
      <c r="T15" s="1096"/>
      <c r="U15" s="135">
        <f ca="1">IFERROR(U13/(MAX(REP.yearsrange)-MIN(REP.yearsrange)),"")</f>
        <v>4.9882105093168011E-2</v>
      </c>
      <c r="V15" s="135">
        <f ca="1">IFERROR(V13/(MAX(REP.yearsrange)-MIN(REP.yearsrange)),"")</f>
        <v>-3.9838373199610226E-3</v>
      </c>
      <c r="W15" s="135">
        <f ca="1">IFERROR(W13/(MAX(REP.yearsrange)-MIN(REP.yearsrange)),"")</f>
        <v>-1.8254056779177291E-3</v>
      </c>
      <c r="X15" s="135">
        <f ca="1">IFERROR(X13/(MAX(REP.yearsrange)-MIN(REP.yearsrange)),"")</f>
        <v>1.9834769947338279E-2</v>
      </c>
    </row>
    <row r="16" spans="1:27" ht="16.2" customHeight="1" thickTop="1" thickBot="1" x14ac:dyDescent="0.35">
      <c r="E16" s="86">
        <f t="array" ref="E16:E27">INDEX(REP.yearsrange,REP.yearnos)</f>
        <v>2011</v>
      </c>
      <c r="F16" s="36" t="s">
        <v>59</v>
      </c>
      <c r="G16" s="94">
        <f t="array" aca="1" ref="G16:G27" ca="1">EMP.MONTHLYDATA</f>
        <v>17002.135776957759</v>
      </c>
      <c r="H16" s="94">
        <f t="array" aca="1" ref="H16:H27" ca="1">EMP.MONTHLYDATA</f>
        <v>18774.732409016473</v>
      </c>
      <c r="I16" s="94">
        <f t="array" aca="1" ref="I16:I27" ca="1">EMP.MONTHLYDATA</f>
        <v>25730.660741268195</v>
      </c>
      <c r="J16" s="95">
        <f t="array" aca="1" ref="J16:J27" ca="1">EMP.MONTHLYDATA</f>
        <v>54445.562689850267</v>
      </c>
      <c r="K16" s="95">
        <f t="array" aca="1" ref="K16:K27" ca="1">EMP.MONTHLYDATA</f>
        <v>53272.551433262241</v>
      </c>
      <c r="L16" s="95">
        <f t="array" aca="1" ref="L16:L27" ca="1">EMP.MONTHLYDATA</f>
        <v>57391.578478476236</v>
      </c>
      <c r="M16" s="96">
        <f t="array" aca="1" ref="M16:M27" ca="1">EMP.MONTHLYDATA</f>
        <v>68191.540961987441</v>
      </c>
      <c r="N16" s="96">
        <f t="array" aca="1" ref="N16:N27" ca="1">EMP.MONTHLYDATA</f>
        <v>74413.378418924287</v>
      </c>
      <c r="O16" s="96">
        <f t="array" aca="1" ref="O16:O27" ca="1">EMP.MONTHLYDATA</f>
        <v>52761.670926406652</v>
      </c>
      <c r="P16" s="97">
        <f t="array" aca="1" ref="P16:P27" ca="1">EMP.MONTHLYDATA</f>
        <v>41216.283967125062</v>
      </c>
      <c r="Q16" s="97">
        <f t="array" aca="1" ref="Q16:Q27" ca="1">EMP.MONTHLYDATA</f>
        <v>21058.595814074226</v>
      </c>
      <c r="R16" s="97">
        <f t="array" aca="1" ref="R16:R27" ca="1">EMP.MONTHLYDATA</f>
        <v>18036.954628939271</v>
      </c>
      <c r="S16" s="98">
        <f t="array" aca="1" ref="S16:S27" ca="1">EMP.MONTHLYDATA</f>
        <v>41857.97052052401</v>
      </c>
      <c r="T16" s="1096"/>
      <c r="U16" s="94">
        <f ca="1">IFERROR(IF(AVERAGE(G16:I16)=0,"",AVERAGE(G16:I16)),"")</f>
        <v>20502.509642414141</v>
      </c>
      <c r="V16" s="95">
        <f ca="1">IFERROR(IF(AVERAGE(J16:L16)=0,"",AVERAGE(J16:L16)),"")</f>
        <v>55036.564200529574</v>
      </c>
      <c r="W16" s="96">
        <f ca="1">IFERROR(IF(AVERAGE(M16:O16)=0,"",AVERAGE(M16:O16)),"")</f>
        <v>65122.196769106136</v>
      </c>
      <c r="X16" s="97">
        <f ca="1">IFERROR(IF(AVERAGE(P16:R16)=0,"",AVERAGE(P16:R16)),"")</f>
        <v>26770.611470046188</v>
      </c>
      <c r="Y16" s="73"/>
      <c r="AA16" s="104">
        <f ca="1">S16</f>
        <v>41857.97052052401</v>
      </c>
    </row>
    <row r="17" spans="4:24" ht="16.2" customHeight="1" thickTop="1" thickBot="1" x14ac:dyDescent="0.35">
      <c r="E17" s="86">
        <v>2012</v>
      </c>
      <c r="F17" s="36" t="str">
        <f>$F$16</f>
        <v>FTEs</v>
      </c>
      <c r="G17" s="94">
        <f ca="1"/>
        <v>16431.494763406186</v>
      </c>
      <c r="H17" s="94">
        <f ca="1"/>
        <v>18647.112566650412</v>
      </c>
      <c r="I17" s="94">
        <f ca="1"/>
        <v>27224.617469720593</v>
      </c>
      <c r="J17" s="95">
        <f ca="1"/>
        <v>47895.074612672586</v>
      </c>
      <c r="K17" s="95">
        <f ca="1"/>
        <v>47754.951377141027</v>
      </c>
      <c r="L17" s="95">
        <f ca="1"/>
        <v>55559.91692951462</v>
      </c>
      <c r="M17" s="96">
        <f ca="1"/>
        <v>65230.411712136061</v>
      </c>
      <c r="N17" s="96">
        <f ca="1"/>
        <v>73027.422881104285</v>
      </c>
      <c r="O17" s="96">
        <f ca="1"/>
        <v>51608.70185829093</v>
      </c>
      <c r="P17" s="97">
        <f ca="1"/>
        <v>43254.869875988617</v>
      </c>
      <c r="Q17" s="97">
        <f ca="1"/>
        <v>20992.040167461735</v>
      </c>
      <c r="R17" s="97">
        <f ca="1"/>
        <v>18496.51682626508</v>
      </c>
      <c r="S17" s="98">
        <f ca="1"/>
        <v>40510.260920029345</v>
      </c>
      <c r="T17" s="38">
        <f ca="1">IFERROR(IF(S17&lt;&gt;0,S17/S16-1,""),"")</f>
        <v>-3.2197203632551852E-2</v>
      </c>
      <c r="U17" s="94">
        <f t="shared" ref="U17:U27" ca="1" si="0">IFERROR(IF(AVERAGE(G17:I17)=0,"",AVERAGE(G17:I17)),"")</f>
        <v>20767.741599925732</v>
      </c>
      <c r="V17" s="95">
        <f t="shared" ref="V17:V27" ca="1" si="1">IFERROR(IF(AVERAGE(J17:L17)=0,"",AVERAGE(J17:L17)),"")</f>
        <v>50403.314306442742</v>
      </c>
      <c r="W17" s="96">
        <f t="shared" ref="W17:W27" ca="1" si="2">IFERROR(IF(AVERAGE(M17:O17)=0,"",AVERAGE(M17:O17)),"")</f>
        <v>63288.845483843761</v>
      </c>
      <c r="X17" s="97">
        <f t="shared" ref="X17:X27" ca="1" si="3">IFERROR(IF(AVERAGE(P17:R17)=0,"",AVERAGE(P17:R17)),"")</f>
        <v>27581.142289905143</v>
      </c>
    </row>
    <row r="18" spans="4:24" ht="16.2" customHeight="1" thickTop="1" thickBot="1" x14ac:dyDescent="0.35">
      <c r="E18" s="86">
        <v>2013</v>
      </c>
      <c r="F18" s="36" t="str">
        <f t="shared" ref="F18:F27" si="4">$F$16</f>
        <v>FTEs</v>
      </c>
      <c r="G18" s="94">
        <f ca="1"/>
        <v>18884.202853557032</v>
      </c>
      <c r="H18" s="94">
        <f ca="1"/>
        <v>21743.699253238927</v>
      </c>
      <c r="I18" s="94">
        <f ca="1"/>
        <v>35487.747703108165</v>
      </c>
      <c r="J18" s="95">
        <f ca="1"/>
        <v>45625.973318876175</v>
      </c>
      <c r="K18" s="95">
        <f ca="1"/>
        <v>52101.413254361498</v>
      </c>
      <c r="L18" s="95">
        <f ca="1"/>
        <v>54641.925504837876</v>
      </c>
      <c r="M18" s="96">
        <f ca="1"/>
        <v>67056.743613540064</v>
      </c>
      <c r="N18" s="96">
        <f ca="1"/>
        <v>77058.815052714912</v>
      </c>
      <c r="O18" s="96">
        <f ca="1"/>
        <v>50757.674947817424</v>
      </c>
      <c r="P18" s="97">
        <f ca="1"/>
        <v>41258.308350365114</v>
      </c>
      <c r="Q18" s="97">
        <f ca="1"/>
        <v>24747.58680659144</v>
      </c>
      <c r="R18" s="97">
        <f ca="1"/>
        <v>21676.880794909415</v>
      </c>
      <c r="S18" s="98">
        <f ca="1"/>
        <v>42586.747621159833</v>
      </c>
      <c r="T18" s="38">
        <f t="shared" ref="T18:T27" ca="1" si="5">IFERROR(IF(S18&lt;&gt;0,S18/S17-1,""),"")</f>
        <v>5.1258289973240334E-2</v>
      </c>
      <c r="U18" s="94">
        <f t="shared" ca="1" si="0"/>
        <v>25371.883269968039</v>
      </c>
      <c r="V18" s="95">
        <f t="shared" ca="1" si="1"/>
        <v>50789.770692691847</v>
      </c>
      <c r="W18" s="96">
        <f t="shared" ca="1" si="2"/>
        <v>64957.744538024133</v>
      </c>
      <c r="X18" s="97">
        <f t="shared" ca="1" si="3"/>
        <v>29227.591983955324</v>
      </c>
    </row>
    <row r="19" spans="4:24" ht="16.2" customHeight="1" thickTop="1" thickBot="1" x14ac:dyDescent="0.35">
      <c r="E19" s="86">
        <v>2014</v>
      </c>
      <c r="F19" s="36" t="str">
        <f t="shared" si="4"/>
        <v>FTEs</v>
      </c>
      <c r="G19" s="94">
        <f ca="1"/>
        <v>18133.327315288112</v>
      </c>
      <c r="H19" s="94">
        <f ca="1"/>
        <v>21177.569810368037</v>
      </c>
      <c r="I19" s="94">
        <f ca="1"/>
        <v>35225.959448831745</v>
      </c>
      <c r="J19" s="95">
        <f ca="1"/>
        <v>44710.233340515762</v>
      </c>
      <c r="K19" s="95">
        <f ca="1"/>
        <v>49450.202388688987</v>
      </c>
      <c r="L19" s="95">
        <f ca="1"/>
        <v>48745.650074253295</v>
      </c>
      <c r="M19" s="96">
        <f ca="1"/>
        <v>61650.780453592452</v>
      </c>
      <c r="N19" s="96">
        <f ca="1"/>
        <v>73299.939240464329</v>
      </c>
      <c r="O19" s="96">
        <f ca="1"/>
        <v>47657.752404575171</v>
      </c>
      <c r="P19" s="97">
        <f ca="1"/>
        <v>37900.486118159672</v>
      </c>
      <c r="Q19" s="97">
        <f ca="1"/>
        <v>22991.674771604405</v>
      </c>
      <c r="R19" s="97">
        <f ca="1"/>
        <v>20878.832572543972</v>
      </c>
      <c r="S19" s="98">
        <f ca="1"/>
        <v>40151.8673282405</v>
      </c>
      <c r="T19" s="38">
        <f t="shared" ca="1" si="5"/>
        <v>-5.717460076029679E-2</v>
      </c>
      <c r="U19" s="94">
        <f t="shared" ca="1" si="0"/>
        <v>24845.618858162634</v>
      </c>
      <c r="V19" s="95">
        <f t="shared" ca="1" si="1"/>
        <v>47635.36193448602</v>
      </c>
      <c r="W19" s="96">
        <f t="shared" ca="1" si="2"/>
        <v>60869.490699543989</v>
      </c>
      <c r="X19" s="97">
        <f t="shared" ca="1" si="3"/>
        <v>27256.997820769349</v>
      </c>
    </row>
    <row r="20" spans="4:24" ht="16.2" customHeight="1" thickTop="1" thickBot="1" x14ac:dyDescent="0.35">
      <c r="E20" s="86">
        <v>2015</v>
      </c>
      <c r="F20" s="36" t="str">
        <f t="shared" si="4"/>
        <v>FTEs</v>
      </c>
      <c r="G20" s="94">
        <f ca="1"/>
        <v>18747.182789364088</v>
      </c>
      <c r="H20" s="94">
        <f ca="1"/>
        <v>21759.552979165219</v>
      </c>
      <c r="I20" s="94">
        <f ca="1"/>
        <v>36458.468886238632</v>
      </c>
      <c r="J20" s="95">
        <f ca="1"/>
        <v>46126.971154277584</v>
      </c>
      <c r="K20" s="95">
        <f ca="1"/>
        <v>51636.241001510869</v>
      </c>
      <c r="L20" s="95">
        <f ca="1"/>
        <v>50835.641831373709</v>
      </c>
      <c r="M20" s="96">
        <f ca="1"/>
        <v>67340.771981952814</v>
      </c>
      <c r="N20" s="96">
        <f ca="1"/>
        <v>79092.110289565724</v>
      </c>
      <c r="O20" s="96">
        <f ca="1"/>
        <v>47704.685126619122</v>
      </c>
      <c r="P20" s="97">
        <f ca="1"/>
        <v>40504.951830788821</v>
      </c>
      <c r="Q20" s="97">
        <f ca="1"/>
        <v>25270.9685610128</v>
      </c>
      <c r="R20" s="97">
        <f ca="1"/>
        <v>21036.622432364296</v>
      </c>
      <c r="S20" s="98">
        <f ca="1"/>
        <v>42209.514072019476</v>
      </c>
      <c r="T20" s="38">
        <f t="shared" ca="1" si="5"/>
        <v>5.124660148325777E-2</v>
      </c>
      <c r="U20" s="94">
        <f t="shared" ca="1" si="0"/>
        <v>25655.068218255979</v>
      </c>
      <c r="V20" s="95">
        <f t="shared" ca="1" si="1"/>
        <v>49532.951329054056</v>
      </c>
      <c r="W20" s="96">
        <f t="shared" ca="1" si="2"/>
        <v>64712.522466045884</v>
      </c>
      <c r="X20" s="97">
        <f t="shared" ca="1" si="3"/>
        <v>28937.514274721976</v>
      </c>
    </row>
    <row r="21" spans="4:24" ht="16.2" customHeight="1" thickTop="1" thickBot="1" x14ac:dyDescent="0.35">
      <c r="E21" s="86">
        <v>2016</v>
      </c>
      <c r="F21" s="36" t="str">
        <f t="shared" si="4"/>
        <v>FTEs</v>
      </c>
      <c r="G21" s="94">
        <f ca="1"/>
        <v>18657.995447967816</v>
      </c>
      <c r="H21" s="94">
        <f ca="1"/>
        <v>21459.508299500143</v>
      </c>
      <c r="I21" s="94">
        <f ca="1"/>
        <v>42236.353391123288</v>
      </c>
      <c r="J21" s="95">
        <f ca="1"/>
        <v>44808.672132737331</v>
      </c>
      <c r="K21" s="95">
        <f ca="1"/>
        <v>47885.391725147521</v>
      </c>
      <c r="L21" s="95">
        <f ca="1"/>
        <v>54667.728516404364</v>
      </c>
      <c r="M21" s="96">
        <f ca="1"/>
        <v>67098.289843793362</v>
      </c>
      <c r="N21" s="96">
        <f ca="1"/>
        <v>76388.881067076363</v>
      </c>
      <c r="O21" s="96">
        <f ca="1"/>
        <v>49708.113577570461</v>
      </c>
      <c r="P21" s="97">
        <f ca="1"/>
        <v>40586.523870114797</v>
      </c>
      <c r="Q21" s="97">
        <f ca="1"/>
        <v>26506.525169720466</v>
      </c>
      <c r="R21" s="97">
        <f ca="1"/>
        <v>22592.488393642034</v>
      </c>
      <c r="S21" s="98">
        <f ca="1"/>
        <v>42716.372619566493</v>
      </c>
      <c r="T21" s="38">
        <f t="shared" ca="1" si="5"/>
        <v>1.2008158792877754E-2</v>
      </c>
      <c r="U21" s="94">
        <f t="shared" ca="1" si="0"/>
        <v>27451.285712863744</v>
      </c>
      <c r="V21" s="95">
        <f t="shared" ca="1" si="1"/>
        <v>49120.597458096403</v>
      </c>
      <c r="W21" s="96">
        <f t="shared" ca="1" si="2"/>
        <v>64398.428162813398</v>
      </c>
      <c r="X21" s="97">
        <f t="shared" ca="1" si="3"/>
        <v>29895.179144492431</v>
      </c>
    </row>
    <row r="22" spans="4:24" ht="16.2" customHeight="1" thickTop="1" thickBot="1" x14ac:dyDescent="0.35">
      <c r="E22" s="86">
        <v>2017</v>
      </c>
      <c r="F22" s="36" t="str">
        <f t="shared" si="4"/>
        <v>FTEs</v>
      </c>
      <c r="G22" s="94">
        <f ca="1"/>
        <v>19795.14717989714</v>
      </c>
      <c r="H22" s="94">
        <f ca="1"/>
        <v>22832.581956352082</v>
      </c>
      <c r="I22" s="94">
        <f ca="1"/>
        <v>39541.73561212745</v>
      </c>
      <c r="J22" s="95">
        <f ca="1"/>
        <v>50726.791215956306</v>
      </c>
      <c r="K22" s="95">
        <f ca="1"/>
        <v>49250.343982209299</v>
      </c>
      <c r="L22" s="95">
        <f ca="1"/>
        <v>54417.152317174696</v>
      </c>
      <c r="M22" s="96">
        <f ca="1"/>
        <v>65554.474597530061</v>
      </c>
      <c r="N22" s="96">
        <f ca="1"/>
        <v>74154.840265389124</v>
      </c>
      <c r="O22" s="96">
        <f ca="1"/>
        <v>49166.918570878668</v>
      </c>
      <c r="P22" s="97">
        <f ca="1"/>
        <v>42435.780013954114</v>
      </c>
      <c r="Q22" s="97">
        <f ca="1"/>
        <v>26201.758633478083</v>
      </c>
      <c r="R22" s="97">
        <f ca="1"/>
        <v>22868.495072467616</v>
      </c>
      <c r="S22" s="98">
        <f ca="1"/>
        <v>43078.834951451223</v>
      </c>
      <c r="T22" s="38">
        <f t="shared" ca="1" si="5"/>
        <v>8.4853256411265843E-3</v>
      </c>
      <c r="U22" s="94">
        <f t="shared" ca="1" si="0"/>
        <v>27389.821582792225</v>
      </c>
      <c r="V22" s="95">
        <f t="shared" ca="1" si="1"/>
        <v>51464.762505113438</v>
      </c>
      <c r="W22" s="96">
        <f t="shared" ca="1" si="2"/>
        <v>62958.744477932611</v>
      </c>
      <c r="X22" s="97">
        <f t="shared" ca="1" si="3"/>
        <v>30502.011239966607</v>
      </c>
    </row>
    <row r="23" spans="4:24" ht="16.2" customHeight="1" thickTop="1" thickBot="1" x14ac:dyDescent="0.35">
      <c r="E23" s="86">
        <v>2018</v>
      </c>
      <c r="F23" s="36" t="str">
        <f t="shared" si="4"/>
        <v>FTEs</v>
      </c>
      <c r="G23" s="94">
        <f ca="1"/>
        <v>20775.298839849427</v>
      </c>
      <c r="H23" s="94">
        <f ca="1"/>
        <v>23560.144867396761</v>
      </c>
      <c r="I23" s="94">
        <f ca="1"/>
        <v>40904.031165877357</v>
      </c>
      <c r="J23" s="95">
        <f ca="1"/>
        <v>47675.959494056267</v>
      </c>
      <c r="K23" s="95">
        <f ca="1"/>
        <v>52958.467738729407</v>
      </c>
      <c r="L23" s="95">
        <f ca="1"/>
        <v>57318.39102741245</v>
      </c>
      <c r="M23" s="96">
        <f ca="1"/>
        <v>67099.821534215691</v>
      </c>
      <c r="N23" s="96">
        <f ca="1"/>
        <v>76987.740170909383</v>
      </c>
      <c r="O23" s="96">
        <f ca="1"/>
        <v>51206.795176291722</v>
      </c>
      <c r="P23" s="97">
        <f ca="1"/>
        <v>44319.531839551841</v>
      </c>
      <c r="Q23" s="97">
        <f ca="1"/>
        <v>27240.847721118913</v>
      </c>
      <c r="R23" s="97">
        <f ca="1"/>
        <v>22745.296629176628</v>
      </c>
      <c r="S23" s="98">
        <f ca="1"/>
        <v>44399.360517048823</v>
      </c>
      <c r="T23" s="38">
        <f t="shared" ca="1" si="5"/>
        <v>3.0653697275838665E-2</v>
      </c>
      <c r="U23" s="94">
        <f t="shared" ca="1" si="0"/>
        <v>28413.158291041182</v>
      </c>
      <c r="V23" s="95">
        <f t="shared" ca="1" si="1"/>
        <v>52650.939420066039</v>
      </c>
      <c r="W23" s="96">
        <f t="shared" ca="1" si="2"/>
        <v>65098.118960472268</v>
      </c>
      <c r="X23" s="97">
        <f t="shared" ca="1" si="3"/>
        <v>31435.225396615791</v>
      </c>
    </row>
    <row r="24" spans="4:24" ht="16.2" customHeight="1" thickTop="1" thickBot="1" x14ac:dyDescent="0.35">
      <c r="E24" s="86">
        <v>2019</v>
      </c>
      <c r="F24" s="36" t="str">
        <f t="shared" si="4"/>
        <v>FTEs</v>
      </c>
      <c r="G24" s="94">
        <f ca="1"/>
        <v>22787.72019134627</v>
      </c>
      <c r="H24" s="94">
        <f ca="1"/>
        <v>24953.123434314868</v>
      </c>
      <c r="I24" s="94">
        <f ca="1"/>
        <v>43342.258380735169</v>
      </c>
      <c r="J24" s="95">
        <f ca="1"/>
        <v>52463.369315430587</v>
      </c>
      <c r="K24" s="95">
        <f ca="1"/>
        <v>55944.192596800334</v>
      </c>
      <c r="L24" s="95">
        <f ca="1"/>
        <v>57519.119933605034</v>
      </c>
      <c r="M24" s="96">
        <f ca="1"/>
        <v>69553.339291639248</v>
      </c>
      <c r="N24" s="96">
        <f ca="1"/>
        <v>79083.004241486284</v>
      </c>
      <c r="O24" s="96">
        <f ca="1"/>
        <v>54157.154293503641</v>
      </c>
      <c r="P24" s="97">
        <f ca="1"/>
        <v>47243.089725738129</v>
      </c>
      <c r="Q24" s="97">
        <f ca="1"/>
        <v>28658.486703699549</v>
      </c>
      <c r="R24" s="97">
        <f ca="1"/>
        <v>25948.319566829978</v>
      </c>
      <c r="S24" s="98">
        <f ca="1"/>
        <v>46804.431472927427</v>
      </c>
      <c r="T24" s="38">
        <f t="shared" ca="1" si="5"/>
        <v>5.4169044956291268E-2</v>
      </c>
      <c r="U24" s="94">
        <f t="shared" ca="1" si="0"/>
        <v>30361.034002132103</v>
      </c>
      <c r="V24" s="95">
        <f t="shared" ca="1" si="1"/>
        <v>55308.893948611978</v>
      </c>
      <c r="W24" s="96">
        <f t="shared" ca="1" si="2"/>
        <v>67597.832608876386</v>
      </c>
      <c r="X24" s="97">
        <f t="shared" ca="1" si="3"/>
        <v>33949.965332089218</v>
      </c>
    </row>
    <row r="25" spans="4:24" ht="16.2" customHeight="1" thickTop="1" thickBot="1" x14ac:dyDescent="0.35">
      <c r="E25" s="86">
        <v>2020</v>
      </c>
      <c r="F25" s="36" t="str">
        <f t="shared" si="4"/>
        <v>FTEs</v>
      </c>
      <c r="G25" s="94">
        <f ca="1"/>
        <v>22378.74830626167</v>
      </c>
      <c r="H25" s="94">
        <f ca="1"/>
        <v>24666.374031463674</v>
      </c>
      <c r="I25" s="94">
        <f ca="1"/>
        <v>30293.756371342381</v>
      </c>
      <c r="J25" s="95">
        <f ca="1"/>
        <v>0</v>
      </c>
      <c r="K25" s="95">
        <f ca="1"/>
        <v>0</v>
      </c>
      <c r="L25" s="95">
        <f ca="1"/>
        <v>1390.6953712910934</v>
      </c>
      <c r="M25" s="96">
        <f ca="1"/>
        <v>26703.902467289896</v>
      </c>
      <c r="N25" s="96">
        <f ca="1"/>
        <v>67283.079908204949</v>
      </c>
      <c r="O25" s="96">
        <f ca="1"/>
        <v>56151.250668977118</v>
      </c>
      <c r="P25" s="97">
        <f ca="1"/>
        <v>15499.101998260967</v>
      </c>
      <c r="Q25" s="97">
        <f ca="1"/>
        <v>13278.486035616736</v>
      </c>
      <c r="R25" s="97">
        <f ca="1"/>
        <v>9806.7481149744399</v>
      </c>
      <c r="S25" s="98">
        <f ca="1"/>
        <v>22287.678606140249</v>
      </c>
      <c r="T25" s="38">
        <f t="shared" ca="1" si="5"/>
        <v>-0.52381264113779769</v>
      </c>
      <c r="U25" s="94">
        <f t="shared" ca="1" si="0"/>
        <v>25779.626236355911</v>
      </c>
      <c r="V25" s="95">
        <f t="shared" ca="1" si="1"/>
        <v>463.56512376369778</v>
      </c>
      <c r="W25" s="96">
        <f t="shared" ca="1" si="2"/>
        <v>50046.077681490657</v>
      </c>
      <c r="X25" s="97">
        <f t="shared" ca="1" si="3"/>
        <v>12861.445382950713</v>
      </c>
    </row>
    <row r="26" spans="4:24" ht="16.2" customHeight="1" thickTop="1" thickBot="1" x14ac:dyDescent="0.35">
      <c r="E26" s="86">
        <v>2021</v>
      </c>
      <c r="F26" s="36" t="str">
        <f t="shared" si="4"/>
        <v>FTEs</v>
      </c>
      <c r="G26" s="94">
        <f ca="1"/>
        <v>19.866373897359274</v>
      </c>
      <c r="H26" s="94">
        <f ca="1"/>
        <v>18.377445531198003</v>
      </c>
      <c r="I26" s="94">
        <f ca="1"/>
        <v>6398.5642524446421</v>
      </c>
      <c r="J26" s="95">
        <f ca="1"/>
        <v>24365.794810015977</v>
      </c>
      <c r="K26" s="95">
        <f ca="1"/>
        <v>28811.614763913181</v>
      </c>
      <c r="L26" s="95">
        <f ca="1"/>
        <v>50733.803616974561</v>
      </c>
      <c r="M26" s="96">
        <f ca="1"/>
        <v>66884.03180040812</v>
      </c>
      <c r="N26" s="96">
        <f ca="1"/>
        <v>83038.352782660106</v>
      </c>
      <c r="O26" s="96">
        <f ca="1"/>
        <v>62086.169853013504</v>
      </c>
      <c r="P26" s="97">
        <f ca="1"/>
        <v>53949.910299077106</v>
      </c>
      <c r="Q26" s="97">
        <f ca="1"/>
        <v>25986.054269494707</v>
      </c>
      <c r="R26" s="97">
        <f ca="1"/>
        <v>23677.717136381652</v>
      </c>
      <c r="S26" s="98">
        <f ca="1"/>
        <v>35497.521450317676</v>
      </c>
      <c r="T26" s="38">
        <f t="shared" ca="1" si="5"/>
        <v>0.59269711653766044</v>
      </c>
      <c r="U26" s="94">
        <f t="shared" ca="1" si="0"/>
        <v>2145.6026906243997</v>
      </c>
      <c r="V26" s="95">
        <f t="shared" ca="1" si="1"/>
        <v>34637.071063634568</v>
      </c>
      <c r="W26" s="96">
        <f t="shared" ca="1" si="2"/>
        <v>70669.518145360576</v>
      </c>
      <c r="X26" s="97">
        <f t="shared" ca="1" si="3"/>
        <v>34537.89390165115</v>
      </c>
    </row>
    <row r="27" spans="4:24" ht="16.2" customHeight="1" thickTop="1" thickBot="1" x14ac:dyDescent="0.35">
      <c r="E27" s="86">
        <v>2022</v>
      </c>
      <c r="F27" s="36" t="str">
        <f t="shared" si="4"/>
        <v>FTEs</v>
      </c>
      <c r="G27" s="94">
        <f ca="1"/>
        <v>23216.358962721341</v>
      </c>
      <c r="H27" s="94">
        <f ca="1"/>
        <v>26547.440818709798</v>
      </c>
      <c r="I27" s="94">
        <f ca="1"/>
        <v>45493.104387478845</v>
      </c>
      <c r="J27" s="95">
        <f ca="1"/>
        <v>49835.147344510406</v>
      </c>
      <c r="K27" s="95">
        <f ca="1"/>
        <v>51856.526508933239</v>
      </c>
      <c r="L27" s="95">
        <f ca="1"/>
        <v>56182.54704013656</v>
      </c>
      <c r="M27" s="96">
        <f ca="1"/>
        <v>67526.437189300443</v>
      </c>
      <c r="N27" s="96">
        <f ca="1"/>
        <v>73061.798111116252</v>
      </c>
      <c r="O27" s="96">
        <f ca="1"/>
        <v>50855.498891455223</v>
      </c>
      <c r="P27" s="97">
        <f ca="1"/>
        <v>45612.405359615164</v>
      </c>
      <c r="Q27" s="97">
        <f ca="1"/>
        <v>28149.783728254421</v>
      </c>
      <c r="R27" s="97">
        <f ca="1"/>
        <v>24072.279677581053</v>
      </c>
      <c r="S27" s="98">
        <f ca="1"/>
        <v>45200.777334984399</v>
      </c>
      <c r="T27" s="38">
        <f t="shared" ca="1" si="5"/>
        <v>0.27335023652982082</v>
      </c>
      <c r="U27" s="94">
        <f t="shared" ca="1" si="0"/>
        <v>31752.301389636661</v>
      </c>
      <c r="V27" s="95">
        <f t="shared" ca="1" si="1"/>
        <v>52624.740297860066</v>
      </c>
      <c r="W27" s="96">
        <f t="shared" ca="1" si="2"/>
        <v>63814.578063957313</v>
      </c>
      <c r="X27" s="97">
        <f t="shared" ca="1" si="3"/>
        <v>32611.489588483546</v>
      </c>
    </row>
    <row r="28" spans="4:24" ht="16.2" customHeight="1" thickTop="1" thickBot="1" x14ac:dyDescent="0.35">
      <c r="E28" s="880" t="str">
        <f ca="1">$A$1</f>
        <v>EMPLOYMENT</v>
      </c>
      <c r="F28" s="879"/>
      <c r="G28" s="879"/>
      <c r="H28" s="879"/>
      <c r="I28" s="879"/>
      <c r="J28" s="879"/>
      <c r="K28" s="879"/>
      <c r="L28" s="879"/>
      <c r="M28" s="879"/>
      <c r="N28" s="879"/>
      <c r="O28" s="879"/>
      <c r="P28" s="879"/>
      <c r="Q28" s="879"/>
      <c r="R28" s="879"/>
      <c r="S28" s="880" t="str">
        <f>UPPER(TYPE.userselected)</f>
        <v>TOTAL</v>
      </c>
      <c r="T28" s="879"/>
      <c r="U28" s="879"/>
      <c r="V28" s="879"/>
      <c r="W28" s="879"/>
      <c r="X28" s="881"/>
    </row>
    <row r="29" spans="4:24" ht="16.2" customHeight="1" thickTop="1" thickBot="1" x14ac:dyDescent="0.35">
      <c r="D29" s="77" t="str">
        <f t="shared" ref="D29:D35" ca="1" si="6">"'"&amp;$A$1&amp;"'!"&amp;CELL("address",G29)&amp;":"&amp;CELL("address",OFFSET(G29,0,YEARSINREP-1))</f>
        <v>'EMPLOYMENT'!$G$29:$R$29</v>
      </c>
      <c r="E29" s="1073" t="s">
        <v>120</v>
      </c>
      <c r="F29" s="1074"/>
      <c r="G29" s="74">
        <f t="array" ref="G29:R29">TRANSPOSE(REP.yearsrange)</f>
        <v>2011</v>
      </c>
      <c r="H29" s="74">
        <v>2012</v>
      </c>
      <c r="I29" s="75">
        <v>2013</v>
      </c>
      <c r="J29" s="75">
        <v>2014</v>
      </c>
      <c r="K29" s="75">
        <v>2015</v>
      </c>
      <c r="L29" s="75">
        <v>2016</v>
      </c>
      <c r="M29" s="75">
        <v>2017</v>
      </c>
      <c r="N29" s="75">
        <v>2018</v>
      </c>
      <c r="O29" s="75">
        <v>2019</v>
      </c>
      <c r="P29" s="75">
        <v>2020</v>
      </c>
      <c r="Q29" s="75">
        <v>2021</v>
      </c>
      <c r="R29" s="75">
        <v>2022</v>
      </c>
      <c r="S29" s="78"/>
      <c r="T29" s="79"/>
      <c r="U29" s="79"/>
      <c r="V29" s="79"/>
      <c r="W29" s="79"/>
      <c r="X29" s="79"/>
    </row>
    <row r="30" spans="4:24" ht="16.2" customHeight="1" thickTop="1" thickBot="1" x14ac:dyDescent="0.35">
      <c r="D30" s="77" t="str">
        <f t="shared" ca="1" si="6"/>
        <v>'EMPLOYMENT'!$G$30:$R$30</v>
      </c>
      <c r="E30" s="63" t="str">
        <f>IF(TYPE.userselected="SFR",TYPE.userselected,PROPER(VISTYPE.short))</f>
        <v>Total</v>
      </c>
      <c r="F30" s="36" t="str">
        <f>$F$16</f>
        <v>FTEs</v>
      </c>
      <c r="G30" s="91">
        <f t="array" ref="G30:R30" ca="1">EMP.SHARE_VT_ANN</f>
        <v>41857.97052052401</v>
      </c>
      <c r="H30" s="91">
        <f ca="1"/>
        <v>40510.260920029345</v>
      </c>
      <c r="I30" s="91">
        <f ca="1"/>
        <v>42586.747621159833</v>
      </c>
      <c r="J30" s="91">
        <f ca="1"/>
        <v>40151.8673282405</v>
      </c>
      <c r="K30" s="91">
        <f ca="1"/>
        <v>42209.514072019476</v>
      </c>
      <c r="L30" s="91">
        <f ca="1"/>
        <v>42716.372619566493</v>
      </c>
      <c r="M30" s="91">
        <f ca="1"/>
        <v>43078.834951451223</v>
      </c>
      <c r="N30" s="91">
        <f ca="1"/>
        <v>44399.360517048823</v>
      </c>
      <c r="O30" s="91">
        <f ca="1"/>
        <v>46804.431472927427</v>
      </c>
      <c r="P30" s="91">
        <f ca="1"/>
        <v>22287.678606140249</v>
      </c>
      <c r="Q30" s="91">
        <f ca="1"/>
        <v>35497.521450317676</v>
      </c>
      <c r="R30" s="91">
        <f ca="1"/>
        <v>45200.777334984399</v>
      </c>
      <c r="S30" s="89"/>
      <c r="T30" s="79"/>
      <c r="U30" s="79"/>
      <c r="V30" s="79"/>
      <c r="W30" s="79"/>
      <c r="X30" s="79"/>
    </row>
    <row r="31" spans="4:24" ht="16.2" customHeight="1" thickTop="1" thickBot="1" x14ac:dyDescent="0.35">
      <c r="D31" s="77" t="str">
        <f t="shared" ca="1" si="6"/>
        <v>'EMPLOYMENT'!$G$31:$R$31</v>
      </c>
      <c r="E31" s="63" t="s">
        <v>74</v>
      </c>
      <c r="F31" s="36" t="str">
        <f>$F$16</f>
        <v>FTEs</v>
      </c>
      <c r="G31" s="92">
        <f t="array" aca="1" ref="G31:R31" ca="1">IFERROR(INDEX(DATA!T:T,MATCH(TRANSPOSE(REP.yearsrange)&amp;"."&amp;$A$1&amp;"."&amp;TOTAL,REP.lookup,0)),"")</f>
        <v>41857.97052052401</v>
      </c>
      <c r="H31" s="92">
        <f ca="1"/>
        <v>40510.260920029345</v>
      </c>
      <c r="I31" s="92">
        <f ca="1"/>
        <v>42586.747621159833</v>
      </c>
      <c r="J31" s="92">
        <f ca="1"/>
        <v>40151.8673282405</v>
      </c>
      <c r="K31" s="92">
        <f ca="1"/>
        <v>42209.514072019476</v>
      </c>
      <c r="L31" s="92">
        <f ca="1"/>
        <v>42716.372619566493</v>
      </c>
      <c r="M31" s="92">
        <f ca="1"/>
        <v>43078.834951451223</v>
      </c>
      <c r="N31" s="92">
        <f ca="1"/>
        <v>44399.360517048823</v>
      </c>
      <c r="O31" s="92">
        <f ca="1"/>
        <v>46804.431472927427</v>
      </c>
      <c r="P31" s="92">
        <f ca="1"/>
        <v>22287.678606140249</v>
      </c>
      <c r="Q31" s="92">
        <f ca="1"/>
        <v>35497.521450317676</v>
      </c>
      <c r="R31" s="92">
        <f ca="1"/>
        <v>45200.777334984399</v>
      </c>
      <c r="S31" s="90"/>
      <c r="T31" s="79"/>
      <c r="U31" s="79"/>
      <c r="V31" s="79"/>
      <c r="W31" s="79"/>
      <c r="X31" s="79"/>
    </row>
    <row r="32" spans="4:24" ht="16.2" customHeight="1" thickTop="1" thickBot="1" x14ac:dyDescent="0.35">
      <c r="D32" s="77" t="str">
        <f t="shared" ca="1" si="6"/>
        <v>'EMPLOYMENT'!$G$32:$R$32</v>
      </c>
      <c r="E32" s="63" t="s">
        <v>121</v>
      </c>
      <c r="F32" s="36" t="s">
        <v>117</v>
      </c>
      <c r="G32" s="72">
        <f t="array" ref="G32:R32" ca="1">IFERROR(EMP.SHARE_VT_ANN/EMP.SHARE_TOTAL_ANN,"")</f>
        <v>1</v>
      </c>
      <c r="H32" s="72">
        <f ca="1"/>
        <v>1</v>
      </c>
      <c r="I32" s="72">
        <f ca="1"/>
        <v>1</v>
      </c>
      <c r="J32" s="72">
        <f ca="1"/>
        <v>1</v>
      </c>
      <c r="K32" s="72">
        <f ca="1"/>
        <v>1</v>
      </c>
      <c r="L32" s="72">
        <f ca="1"/>
        <v>1</v>
      </c>
      <c r="M32" s="72">
        <f ca="1"/>
        <v>1</v>
      </c>
      <c r="N32" s="72">
        <f ca="1"/>
        <v>1</v>
      </c>
      <c r="O32" s="72">
        <f ca="1"/>
        <v>1</v>
      </c>
      <c r="P32" s="72">
        <f ca="1"/>
        <v>1</v>
      </c>
      <c r="Q32" s="72">
        <f ca="1"/>
        <v>1</v>
      </c>
      <c r="R32" s="72">
        <f ca="1"/>
        <v>1</v>
      </c>
      <c r="S32" s="79"/>
      <c r="T32" s="79"/>
      <c r="U32" s="79"/>
      <c r="V32" s="79"/>
      <c r="W32" s="79"/>
      <c r="X32" s="79"/>
    </row>
    <row r="33" spans="4:24" ht="16.2" customHeight="1" thickTop="1" thickBot="1" x14ac:dyDescent="0.35">
      <c r="D33" s="77" t="str">
        <f t="shared" ca="1" si="6"/>
        <v>'EMPLOYMENT'!$G$33:$R$33</v>
      </c>
      <c r="E33" s="63" t="s">
        <v>122</v>
      </c>
      <c r="F33" s="36" t="s">
        <v>117</v>
      </c>
      <c r="G33" s="38"/>
      <c r="H33" s="72">
        <f ca="1">IFERROR(H32/G32-1,"")</f>
        <v>0</v>
      </c>
      <c r="I33" s="72">
        <f t="shared" ref="I33:R33" ca="1" si="7">IFERROR(I32/H32-1,"")</f>
        <v>0</v>
      </c>
      <c r="J33" s="72">
        <f t="shared" ca="1" si="7"/>
        <v>0</v>
      </c>
      <c r="K33" s="72">
        <f t="shared" ca="1" si="7"/>
        <v>0</v>
      </c>
      <c r="L33" s="72">
        <f t="shared" ca="1" si="7"/>
        <v>0</v>
      </c>
      <c r="M33" s="72">
        <f t="shared" ca="1" si="7"/>
        <v>0</v>
      </c>
      <c r="N33" s="72">
        <f t="shared" ca="1" si="7"/>
        <v>0</v>
      </c>
      <c r="O33" s="72">
        <f t="shared" ca="1" si="7"/>
        <v>0</v>
      </c>
      <c r="P33" s="72">
        <f t="shared" ca="1" si="7"/>
        <v>0</v>
      </c>
      <c r="Q33" s="72">
        <f t="shared" ca="1" si="7"/>
        <v>0</v>
      </c>
      <c r="R33" s="72">
        <f t="shared" ca="1" si="7"/>
        <v>0</v>
      </c>
      <c r="S33" s="79"/>
      <c r="T33" s="79"/>
      <c r="U33" s="79"/>
      <c r="V33" s="79"/>
      <c r="W33" s="79"/>
      <c r="X33" s="79"/>
    </row>
    <row r="34" spans="4:24" ht="16.2" customHeight="1" thickTop="1" thickBot="1" x14ac:dyDescent="0.35">
      <c r="D34" s="77" t="str">
        <f t="shared" ca="1" si="6"/>
        <v>'EMPLOYMENT'!$G$34:$R$34</v>
      </c>
      <c r="E34" s="63" t="str">
        <f>"Change in Share from "&amp;MIN(REP.yearsrange)</f>
        <v>Change in Share from 2011</v>
      </c>
      <c r="F34" s="36" t="s">
        <v>117</v>
      </c>
      <c r="G34" s="38"/>
      <c r="H34" s="72">
        <f t="shared" ref="H34:R34" ca="1" si="8">IFERROR(H32/$G$32-1,"")</f>
        <v>0</v>
      </c>
      <c r="I34" s="72">
        <f t="shared" ca="1" si="8"/>
        <v>0</v>
      </c>
      <c r="J34" s="72">
        <f t="shared" ca="1" si="8"/>
        <v>0</v>
      </c>
      <c r="K34" s="72">
        <f t="shared" ca="1" si="8"/>
        <v>0</v>
      </c>
      <c r="L34" s="72">
        <f t="shared" ca="1" si="8"/>
        <v>0</v>
      </c>
      <c r="M34" s="72">
        <f t="shared" ca="1" si="8"/>
        <v>0</v>
      </c>
      <c r="N34" s="72">
        <f t="shared" ca="1" si="8"/>
        <v>0</v>
      </c>
      <c r="O34" s="72">
        <f t="shared" ca="1" si="8"/>
        <v>0</v>
      </c>
      <c r="P34" s="72">
        <f t="shared" ca="1" si="8"/>
        <v>0</v>
      </c>
      <c r="Q34" s="72">
        <f t="shared" ca="1" si="8"/>
        <v>0</v>
      </c>
      <c r="R34" s="72">
        <f t="shared" ca="1" si="8"/>
        <v>0</v>
      </c>
      <c r="S34" s="79"/>
      <c r="T34" s="79"/>
      <c r="U34" s="79"/>
      <c r="V34" s="79"/>
      <c r="W34" s="79"/>
      <c r="X34" s="79"/>
    </row>
    <row r="35" spans="4:24" ht="16.2" customHeight="1" thickTop="1" thickBot="1" x14ac:dyDescent="0.35">
      <c r="D35" s="77" t="str">
        <f t="shared" ca="1" si="6"/>
        <v>'EMPLOYMENT'!$G$35:$R$35</v>
      </c>
      <c r="E35" s="63" t="s">
        <v>146</v>
      </c>
      <c r="F35" s="36" t="s">
        <v>117</v>
      </c>
      <c r="G35" s="38"/>
      <c r="H35" s="72">
        <f ca="1">IFERROR(H34/(H$29-$G$29),"")</f>
        <v>0</v>
      </c>
      <c r="I35" s="72">
        <f t="shared" ref="I35:R35" ca="1" si="9">IFERROR(I34/(I$29-$G$29),"")</f>
        <v>0</v>
      </c>
      <c r="J35" s="72">
        <f t="shared" ca="1" si="9"/>
        <v>0</v>
      </c>
      <c r="K35" s="72">
        <f t="shared" ca="1" si="9"/>
        <v>0</v>
      </c>
      <c r="L35" s="72">
        <f t="shared" ca="1" si="9"/>
        <v>0</v>
      </c>
      <c r="M35" s="72">
        <f t="shared" ca="1" si="9"/>
        <v>0</v>
      </c>
      <c r="N35" s="72">
        <f t="shared" ca="1" si="9"/>
        <v>0</v>
      </c>
      <c r="O35" s="72">
        <f t="shared" ca="1" si="9"/>
        <v>0</v>
      </c>
      <c r="P35" s="72">
        <f t="shared" ca="1" si="9"/>
        <v>0</v>
      </c>
      <c r="Q35" s="72">
        <f t="shared" ca="1" si="9"/>
        <v>0</v>
      </c>
      <c r="R35" s="72">
        <f t="shared" ca="1" si="9"/>
        <v>0</v>
      </c>
      <c r="S35" s="79"/>
      <c r="T35" s="79"/>
      <c r="U35" s="79"/>
      <c r="V35" s="79"/>
      <c r="W35" s="79"/>
      <c r="X35" s="79"/>
    </row>
    <row r="36" spans="4:24" ht="16.2" customHeight="1" thickTop="1" thickBot="1" x14ac:dyDescent="0.35">
      <c r="D36" s="77"/>
      <c r="E36" s="664"/>
      <c r="F36" s="665"/>
      <c r="G36" s="38"/>
      <c r="H36" s="72"/>
      <c r="I36" s="72"/>
      <c r="J36" s="72"/>
      <c r="K36" s="72"/>
      <c r="L36" s="72"/>
      <c r="M36" s="72"/>
      <c r="N36" s="72"/>
      <c r="O36" s="72"/>
      <c r="P36" s="72"/>
      <c r="Q36" s="72"/>
      <c r="R36" s="72"/>
      <c r="S36" s="79"/>
      <c r="T36" s="79"/>
      <c r="U36" s="79"/>
      <c r="V36" s="79"/>
      <c r="W36" s="79"/>
      <c r="X36" s="79"/>
    </row>
    <row r="37" spans="4:24" ht="16.2" customHeight="1" thickTop="1" thickBot="1" x14ac:dyDescent="0.35">
      <c r="E37" s="87" t="str">
        <f>IF(COUNT(REP.yearsrange)&lt;MAX(REP.yearnos),"Note: This report caters for a period of up to 12 years. Parts of this page are intentionally left blank to accommodate new data as it becomes available.","")</f>
        <v/>
      </c>
      <c r="F37" s="85"/>
      <c r="G37" s="85"/>
      <c r="H37" s="85"/>
      <c r="I37" s="85"/>
      <c r="J37" s="85"/>
      <c r="K37" s="85"/>
      <c r="L37" s="85"/>
      <c r="M37" s="85"/>
      <c r="N37" s="85"/>
      <c r="O37" s="85"/>
      <c r="P37" s="85"/>
      <c r="Q37" s="85"/>
      <c r="R37" s="85"/>
      <c r="S37" s="79"/>
      <c r="T37" s="79"/>
      <c r="U37" s="79"/>
      <c r="V37" s="79"/>
      <c r="W37" s="79"/>
      <c r="X37" s="79"/>
    </row>
    <row r="38" spans="4:24" s="42" customFormat="1" ht="16.2" customHeight="1" thickTop="1" thickBot="1" x14ac:dyDescent="0.2">
      <c r="D38" s="41"/>
      <c r="E38" s="62" t="str">
        <f>REP.footer1</f>
        <v>This report is copyright © Global Tourism Solutions (UK) Ltd 2023</v>
      </c>
      <c r="F38" s="56"/>
      <c r="G38" s="56"/>
      <c r="H38" s="56"/>
      <c r="I38" s="56"/>
      <c r="J38" s="56"/>
      <c r="K38" s="56"/>
      <c r="L38" s="56"/>
      <c r="M38" s="56"/>
      <c r="N38" s="56"/>
      <c r="O38" s="56"/>
      <c r="P38" s="56"/>
      <c r="Q38" s="56"/>
      <c r="R38" s="56"/>
      <c r="S38" s="56"/>
      <c r="T38" s="56"/>
      <c r="U38" s="56"/>
      <c r="V38" s="56"/>
      <c r="W38" s="56"/>
      <c r="X38" s="61" t="str">
        <f>REP.footer2</f>
        <v>Report Prepared by: Cathy James. Date of Issue: 05/09/23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AxXE7lSmsNYl/3JyGa9VcjLOPGod8JoVHMEI0GDSgP4P/tvXM/9IER2LfEPsJgBs7cKEhn+VlDRngVkHfTOMIQ==" saltValue="cgzGA6F7OUVZsXkDE0j0mA==" spinCount="100000" sheet="1" objects="1" scenarios="1"/>
  <mergeCells count="26">
    <mergeCell ref="E28:R28"/>
    <mergeCell ref="S28:X28"/>
    <mergeCell ref="E29:F29"/>
    <mergeCell ref="E10:F10"/>
    <mergeCell ref="G10:R10"/>
    <mergeCell ref="S10:S12"/>
    <mergeCell ref="T10:T12"/>
    <mergeCell ref="E11:F11"/>
    <mergeCell ref="G11:I11"/>
    <mergeCell ref="J11:L11"/>
    <mergeCell ref="M11:O11"/>
    <mergeCell ref="P11:R11"/>
    <mergeCell ref="E12:F12"/>
    <mergeCell ref="E13:F13"/>
    <mergeCell ref="T13:T16"/>
    <mergeCell ref="E14:F14"/>
    <mergeCell ref="E15:F15"/>
    <mergeCell ref="S6:T7"/>
    <mergeCell ref="U6:X7"/>
    <mergeCell ref="E8:F8"/>
    <mergeCell ref="G8:R8"/>
    <mergeCell ref="S8:T9"/>
    <mergeCell ref="U8:X11"/>
    <mergeCell ref="E9:F9"/>
    <mergeCell ref="G9:R9"/>
    <mergeCell ref="P6:R7"/>
  </mergeCells>
  <conditionalFormatting sqref="E16:X27">
    <cfRule type="expression" dxfId="57" priority="26">
      <formula>$E16=0</formula>
    </cfRule>
  </conditionalFormatting>
  <conditionalFormatting sqref="F30:F36">
    <cfRule type="expression" dxfId="56" priority="40">
      <formula>$E30=0</formula>
    </cfRule>
  </conditionalFormatting>
  <conditionalFormatting sqref="G9:R9">
    <cfRule type="expression" dxfId="55" priority="15">
      <formula>TYPE.no=4</formula>
    </cfRule>
    <cfRule type="expression" dxfId="54" priority="16">
      <formula>TYPE.no=3</formula>
    </cfRule>
    <cfRule type="expression" dxfId="53" priority="17">
      <formula>TYPE.no=2</formula>
    </cfRule>
    <cfRule type="expression" dxfId="52" priority="18">
      <formula>TYPE.no=1</formula>
    </cfRule>
    <cfRule type="expression" dxfId="51" priority="13">
      <formula>TYPE.no=6</formula>
    </cfRule>
    <cfRule type="expression" dxfId="50" priority="14">
      <formula>TYPE.no=5</formula>
    </cfRule>
  </conditionalFormatting>
  <conditionalFormatting sqref="G30:R34 H35:R36">
    <cfRule type="expression" dxfId="49" priority="33" stopIfTrue="1">
      <formula>G$29=0</formula>
    </cfRule>
  </conditionalFormatting>
  <conditionalFormatting sqref="G33:R34">
    <cfRule type="cellIs" dxfId="48" priority="36" operator="lessThanOrEqual">
      <formula>-REP.percenthighlight</formula>
    </cfRule>
    <cfRule type="cellIs" dxfId="47" priority="37" operator="greaterThanOrEqual">
      <formula>REP.percenthighlight</formula>
    </cfRule>
  </conditionalFormatting>
  <conditionalFormatting sqref="G13:S15">
    <cfRule type="expression" priority="4" stopIfTrue="1">
      <formula>G13=""</formula>
    </cfRule>
    <cfRule type="cellIs" dxfId="46" priority="5" operator="lessThanOrEqual">
      <formula>-REP.percenthighlight</formula>
    </cfRule>
    <cfRule type="cellIs" dxfId="45" priority="6" operator="greaterThanOrEqual">
      <formula>REP.percenthighlight</formula>
    </cfRule>
  </conditionalFormatting>
  <conditionalFormatting sqref="H35:R36">
    <cfRule type="cellIs" dxfId="44" priority="34" operator="lessThanOrEqual">
      <formula>-REP.percenthighlight</formula>
    </cfRule>
    <cfRule type="cellIs" dxfId="43" priority="35" operator="greaterThanOrEqual">
      <formula>REP.percenthighlight</formula>
    </cfRule>
  </conditionalFormatting>
  <conditionalFormatting sqref="I29:R29">
    <cfRule type="expression" dxfId="42" priority="38">
      <formula>I29=0</formula>
    </cfRule>
  </conditionalFormatting>
  <conditionalFormatting sqref="S6:T7">
    <cfRule type="expression" dxfId="41" priority="19">
      <formula>TYPE.no=6</formula>
    </cfRule>
    <cfRule type="expression" dxfId="40" priority="20">
      <formula>TYPE.no=5</formula>
    </cfRule>
    <cfRule type="expression" dxfId="39" priority="21">
      <formula>TYPE.no=4</formula>
    </cfRule>
    <cfRule type="expression" dxfId="38" priority="22">
      <formula>TYPE.no=3</formula>
    </cfRule>
    <cfRule type="expression" dxfId="37" priority="23">
      <formula>TYPE.no=2</formula>
    </cfRule>
    <cfRule type="expression" dxfId="36" priority="24">
      <formula>TYPE.no=1</formula>
    </cfRule>
  </conditionalFormatting>
  <conditionalFormatting sqref="S28:X28">
    <cfRule type="expression" dxfId="35" priority="7">
      <formula>TYPE.no=6</formula>
    </cfRule>
    <cfRule type="expression" dxfId="34" priority="8">
      <formula>TYPE.no=5</formula>
    </cfRule>
    <cfRule type="expression" dxfId="33" priority="9">
      <formula>TYPE.no=4</formula>
    </cfRule>
    <cfRule type="expression" dxfId="32" priority="10">
      <formula>TYPE.no=3</formula>
    </cfRule>
    <cfRule type="expression" dxfId="31" priority="11">
      <formula>TYPE.no=2</formula>
    </cfRule>
    <cfRule type="expression" dxfId="30" priority="12">
      <formula>TYPE.no=1</formula>
    </cfRule>
  </conditionalFormatting>
  <conditionalFormatting sqref="T17:T27">
    <cfRule type="cellIs" dxfId="29" priority="31" operator="greaterThanOrEqual">
      <formula>REP.percenthighlight</formula>
    </cfRule>
    <cfRule type="cellIs" dxfId="28" priority="32" operator="lessThanOrEqual">
      <formula>-REP.percenthighlight</formula>
    </cfRule>
  </conditionalFormatting>
  <conditionalFormatting sqref="U13:X15">
    <cfRule type="cellIs" dxfId="27" priority="2" operator="lessThanOrEqual">
      <formula>-REP.percenthighlight</formula>
    </cfRule>
    <cfRule type="cellIs" dxfId="26" priority="3" operator="greaterThanOrEqual">
      <formula>REP.percenthighlight</formula>
    </cfRule>
    <cfRule type="expression" priority="1" stopIfTrue="1">
      <formula>U13=""</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9811" r:id="rId4" name="Drop Down 3">
              <controlPr defaultSize="0" autoLine="0" autoPict="0">
                <anchor moveWithCells="1">
                  <from>
                    <xdr:col>21</xdr:col>
                    <xdr:colOff>175260</xdr:colOff>
                    <xdr:row>4</xdr:row>
                    <xdr:rowOff>22860</xdr:rowOff>
                  </from>
                  <to>
                    <xdr:col>22</xdr:col>
                    <xdr:colOff>259080</xdr:colOff>
                    <xdr:row>4</xdr:row>
                    <xdr:rowOff>297180</xdr:rowOff>
                  </to>
                </anchor>
              </controlPr>
            </control>
          </mc:Choice>
        </mc:AlternateContent>
        <mc:AlternateContent xmlns:mc="http://schemas.openxmlformats.org/markup-compatibility/2006">
          <mc:Choice Requires="x14">
            <control shapeId="119812" r:id="rId5" name="Drop Down 4">
              <controlPr defaultSize="0" autoLine="0" autoPict="0">
                <anchor moveWithCells="1">
                  <from>
                    <xdr:col>9</xdr:col>
                    <xdr:colOff>175260</xdr:colOff>
                    <xdr:row>4</xdr:row>
                    <xdr:rowOff>22860</xdr:rowOff>
                  </from>
                  <to>
                    <xdr:col>13</xdr:col>
                    <xdr:colOff>144780</xdr:colOff>
                    <xdr:row>4</xdr:row>
                    <xdr:rowOff>297180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Output10">
    <tabColor theme="6" tint="-0.499984740745262"/>
    <outlinePr showOutlineSymbols="0"/>
    <pageSetUpPr autoPageBreaks="0" fitToPage="1"/>
  </sheetPr>
  <dimension ref="A1:AB70"/>
  <sheetViews>
    <sheetView showGridLines="0" showRowColHeaders="0" showOutlineSymbols="0" topLeftCell="A2" zoomScaleNormal="100" workbookViewId="0">
      <pane ySplit="6" topLeftCell="A8" activePane="bottomLeft" state="frozen"/>
      <selection activeCell="M48" sqref="M48"/>
      <selection pane="bottomLeft" activeCell="Z22" sqref="Z22"/>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27" width="5.6640625" style="111" customWidth="1"/>
    <col min="28" max="28" width="7.6640625" style="111" customWidth="1"/>
    <col min="29" max="16384" width="4.88671875" style="111"/>
  </cols>
  <sheetData>
    <row r="1" spans="1:28" ht="16.2" hidden="1" customHeight="1" thickTop="1" thickBot="1" x14ac:dyDescent="0.35">
      <c r="A1" s="110" t="str">
        <f ca="1">MID(CELL("filename",A1),FIND("]",CELL("filename",A1))+1,255)</f>
        <v>ACCOMMODATION SUPPLY</v>
      </c>
      <c r="E1" s="113"/>
      <c r="F1" s="114"/>
      <c r="G1" s="114"/>
      <c r="H1" s="114"/>
      <c r="I1" s="114"/>
      <c r="J1" s="114"/>
      <c r="K1" s="114"/>
      <c r="L1" s="114"/>
      <c r="M1" s="114"/>
      <c r="N1" s="114"/>
      <c r="O1" s="114"/>
      <c r="P1" s="114"/>
      <c r="Q1" s="114"/>
      <c r="R1" s="114"/>
      <c r="S1" s="114"/>
      <c r="T1" s="114"/>
      <c r="U1" s="114"/>
      <c r="V1" s="114"/>
      <c r="W1" s="114"/>
      <c r="X1" s="115"/>
    </row>
    <row r="2" spans="1:28"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8" ht="26.4" customHeight="1" x14ac:dyDescent="0.3">
      <c r="E3" s="119"/>
      <c r="F3" s="120"/>
      <c r="G3" s="120"/>
      <c r="H3" s="120"/>
      <c r="I3" s="120"/>
      <c r="J3" s="120"/>
      <c r="K3" s="120"/>
      <c r="L3" s="120"/>
      <c r="M3" s="120"/>
      <c r="N3" s="120"/>
      <c r="O3" s="120"/>
      <c r="P3" s="120"/>
      <c r="Q3" s="120"/>
      <c r="R3" s="120"/>
      <c r="S3" s="120"/>
      <c r="T3" s="120"/>
      <c r="U3" s="120"/>
      <c r="V3" s="120"/>
      <c r="W3" s="120"/>
      <c r="X3" s="121"/>
    </row>
    <row r="4" spans="1:28" ht="26.4" customHeight="1" x14ac:dyDescent="0.3">
      <c r="E4" s="204"/>
      <c r="F4" s="205"/>
      <c r="G4" s="205"/>
      <c r="H4" s="205"/>
      <c r="I4" s="205"/>
      <c r="J4" s="205"/>
      <c r="K4" s="205"/>
      <c r="L4" s="205"/>
      <c r="M4" s="205"/>
      <c r="N4" s="205"/>
      <c r="O4" s="205"/>
      <c r="P4" s="205"/>
      <c r="Q4" s="205"/>
      <c r="R4" s="205"/>
      <c r="S4" s="205"/>
      <c r="T4" s="205"/>
      <c r="U4" s="205"/>
      <c r="V4" s="205"/>
      <c r="W4" s="205"/>
      <c r="X4" s="206"/>
    </row>
    <row r="5" spans="1:28" ht="26.4" customHeight="1" thickBot="1" x14ac:dyDescent="0.35">
      <c r="E5" s="207"/>
      <c r="F5" s="208"/>
      <c r="G5" s="208"/>
      <c r="H5" s="208"/>
      <c r="I5" s="208"/>
      <c r="J5" s="208"/>
      <c r="K5" s="208"/>
      <c r="L5" s="208"/>
      <c r="M5" s="406" t="str">
        <f>"INDEXATION TO "&amp;MAX(REP.yearsrange)&amp;" PRICES"</f>
        <v>INDEXATION TO 2022 PRICES</v>
      </c>
      <c r="N5" s="208"/>
      <c r="O5" s="208"/>
      <c r="P5" s="208"/>
      <c r="Q5" s="208"/>
      <c r="R5" s="208"/>
      <c r="S5" s="208"/>
      <c r="T5" s="208"/>
      <c r="U5" s="208"/>
      <c r="V5" s="208"/>
      <c r="W5" s="208"/>
      <c r="X5" s="209"/>
    </row>
    <row r="6" spans="1:28" ht="16.2" customHeight="1" thickTop="1" x14ac:dyDescent="0.3">
      <c r="E6" s="531" t="str">
        <f>REP.title1</f>
        <v>STEAM FINAL TREND REPORT FOR 2011-2022</v>
      </c>
      <c r="F6" s="532"/>
      <c r="G6" s="532"/>
      <c r="H6" s="532"/>
      <c r="I6" s="532"/>
      <c r="J6" s="532"/>
      <c r="K6" s="532"/>
      <c r="L6" s="532"/>
      <c r="M6" s="532"/>
      <c r="N6" s="708"/>
      <c r="O6" s="1111">
        <f>CHARTYEAR</f>
        <v>2022</v>
      </c>
      <c r="P6" s="1112"/>
      <c r="Q6" s="1112"/>
      <c r="R6" s="1113"/>
      <c r="S6" s="1117" t="s">
        <v>173</v>
      </c>
      <c r="T6" s="1118"/>
      <c r="U6" s="1121" t="str">
        <f>"ACCOMMODATION SUPPLY"&amp;CHAR(10)&amp;"DISTRIBUTION BY TYPE"</f>
        <v>ACCOMMODATION SUPPLY
DISTRIBUTION BY TYPE</v>
      </c>
      <c r="V6" s="1122"/>
      <c r="W6" s="1122"/>
      <c r="X6" s="1123"/>
    </row>
    <row r="7" spans="1:28" ht="16.2" customHeight="1" thickBot="1" x14ac:dyDescent="0.35">
      <c r="E7" s="533" t="str">
        <f>REP.title2</f>
        <v>NORTH WALES</v>
      </c>
      <c r="F7" s="534"/>
      <c r="G7" s="534"/>
      <c r="H7" s="534"/>
      <c r="I7" s="535"/>
      <c r="J7" s="535"/>
      <c r="K7" s="535"/>
      <c r="L7" s="535"/>
      <c r="M7" s="535"/>
      <c r="N7" s="709"/>
      <c r="O7" s="1114"/>
      <c r="P7" s="1115"/>
      <c r="Q7" s="1115"/>
      <c r="R7" s="1116"/>
      <c r="S7" s="1119"/>
      <c r="T7" s="1120"/>
      <c r="U7" s="1124"/>
      <c r="V7" s="1125"/>
      <c r="W7" s="1125"/>
      <c r="X7" s="1126"/>
    </row>
    <row r="8" spans="1:28" ht="16.2" customHeight="1" thickTop="1" thickBot="1" x14ac:dyDescent="0.35">
      <c r="E8" s="1127" t="str">
        <f>"SERVICED ACCOMMODATION "&amp;CHAR(10)&amp;CHARTYEAR</f>
        <v>SERVICED ACCOMMODATION 
2022</v>
      </c>
      <c r="F8" s="1128"/>
      <c r="G8" s="1128"/>
      <c r="H8" s="1128"/>
      <c r="I8" s="1109">
        <f>CHARTYEAR</f>
        <v>2022</v>
      </c>
      <c r="J8" s="1110"/>
      <c r="K8" s="1099" t="str">
        <f>IF(CHARTYEAR=INDEX(REP.yearsrange,1),"","Change on "&amp;INDEX(REP.yearsrange,MATCH(CHARTYEAR,REP.yearsrange,0)-1))</f>
        <v>Change on 2021</v>
      </c>
      <c r="L8" s="1100"/>
      <c r="M8" s="1097" t="str">
        <f>IF(OR(CHARTYEAR=INDEX(REP.yearsrange,1),CHARTYEAR=INDEX(REP.yearsrange,2)),"","Change on "&amp;INDEX(REP.yearsrange,1))</f>
        <v>Change on 2011</v>
      </c>
      <c r="N8" s="1131"/>
      <c r="O8" s="1101"/>
      <c r="P8" s="1101"/>
      <c r="Q8" s="1101"/>
      <c r="R8" s="1101"/>
      <c r="S8" s="1101"/>
      <c r="T8" s="1101"/>
      <c r="U8" s="1101"/>
      <c r="V8" s="1101"/>
      <c r="W8" s="1101"/>
      <c r="X8" s="1102"/>
      <c r="Y8" s="240"/>
    </row>
    <row r="9" spans="1:28" s="125" customFormat="1" ht="16.2" customHeight="1" thickTop="1" thickBot="1" x14ac:dyDescent="0.35">
      <c r="E9" s="1129"/>
      <c r="F9" s="1130"/>
      <c r="G9" s="1130"/>
      <c r="H9" s="1130"/>
      <c r="I9" s="717" t="s">
        <v>175</v>
      </c>
      <c r="J9" s="718" t="s">
        <v>176</v>
      </c>
      <c r="K9" s="232" t="str">
        <f>IF(K8="","",I9)</f>
        <v>Est.</v>
      </c>
      <c r="L9" s="723" t="str">
        <f>IF(K8="","",J9)</f>
        <v>Beds</v>
      </c>
      <c r="M9" s="724" t="str">
        <f>IF(M8="","",I9)</f>
        <v>Est.</v>
      </c>
      <c r="N9" s="753" t="str">
        <f>IF(M8="","",J9)</f>
        <v>Beds</v>
      </c>
      <c r="O9" s="1103"/>
      <c r="P9" s="1103"/>
      <c r="Q9" s="1103"/>
      <c r="R9" s="1103"/>
      <c r="S9" s="1103"/>
      <c r="T9" s="1103"/>
      <c r="U9" s="1103"/>
      <c r="V9" s="1103"/>
      <c r="W9" s="1103"/>
      <c r="X9" s="1104"/>
      <c r="Y9" s="485"/>
    </row>
    <row r="10" spans="1:28" s="125" customFormat="1" ht="16.2" customHeight="1" thickTop="1" thickBot="1" x14ac:dyDescent="0.35">
      <c r="E10" s="726" t="s">
        <v>161</v>
      </c>
      <c r="F10" s="727"/>
      <c r="G10" s="728"/>
      <c r="H10" s="729"/>
      <c r="I10" s="741">
        <f t="array" ref="I10:I15">IFERROR(INDEX(DATA!$T:$T,MATCH(CHARTYEAR&amp;".Accommodation - Establishments.Serviced Accommodation "&amp;{"Total";"1";"2";"3";"4";"5"},REP.lookup,0)),"")</f>
        <v>1006</v>
      </c>
      <c r="J10" s="741">
        <f t="array" ref="J10:J15">IFERROR(INDEX(DATA!$T:$T,MATCH(CHARTYEAR&amp;".Accommodation - Bed Spaces.Serviced Accommodation "&amp;{"Total";"1";"2";"3";"4";"5"},REP.lookup,0)),"")</f>
        <v>24806</v>
      </c>
      <c r="K10" s="754">
        <f t="array" ref="K10:K15">IFERROR(IF(K$9="","",I10:I15-INDEX(DATA!$T:$T,MATCH(CHARTYEAR-1&amp;".Accommodation - Establishments.Serviced Accommodation "&amp;{"Total";"1";"2";"3";"4";"5"},REP.lookup,0))),"")</f>
        <v>-47</v>
      </c>
      <c r="L10" s="754">
        <f t="array" ref="L10:L15">IFERROR(IF(L$9="","",J10:J15-INDEX(DATA!$T:$T,MATCH(CHARTYEAR-1&amp;".Accommodation - Bed Spaces.Serviced Accommodation "&amp;{"Total";"1";"2";"3";"4";"5"},REP.lookup,0))),"")</f>
        <v>-325</v>
      </c>
      <c r="M10" s="754" t="str">
        <f t="array" ref="M10:M15">IFERROR(IF(M$9="","",I10:I15-INDEX(DATA!$T:$T,MATCH(INDEX(REP.yearsrange,1)&amp;".Accommodation - Establishments.Serviced Accommodation "&amp;{"Total";"1";"2";"3";"4";"5"},REP.lookup,0))),"")</f>
        <v/>
      </c>
      <c r="N10" s="754">
        <f t="array" ref="N10:N15">IFERROR(IF(N$9="","",J10:J15-INDEX(DATA!$T:$T,MATCH(INDEX(REP.yearsrange,1)&amp;".Accommodation - Bed Spaces.Serviced Accommodation "&amp;{"Total";"1";"2";"3";"4";"5"},REP.lookup,0))),"")</f>
        <v>24806</v>
      </c>
      <c r="O10" s="734"/>
      <c r="P10" s="421"/>
      <c r="Q10" s="421"/>
      <c r="R10" s="421"/>
      <c r="S10" s="421"/>
      <c r="T10" s="421"/>
      <c r="U10" s="421"/>
      <c r="V10" s="421"/>
      <c r="W10" s="421"/>
      <c r="X10" s="735"/>
      <c r="Y10" s="485"/>
      <c r="Z10" s="485"/>
      <c r="AA10" s="484"/>
      <c r="AB10" s="483"/>
    </row>
    <row r="11" spans="1:28" s="125" customFormat="1" ht="16.2" customHeight="1" thickTop="1" thickBot="1" x14ac:dyDescent="0.35">
      <c r="E11" s="695" t="str">
        <f t="array" ref="E11:E15">IFERROR(IF(AVERAGE(I11:I15,K11:K15,M11:M15)&lt;&gt;0,INDEX(DATA!$G:$G,MATCH(CHARTYEAR&amp;".Accommodation - Establishments.Serviced Accommodation "&amp;{"1";"2";"3";"4";"5"},REP.lookup,0)),""),"")</f>
        <v>+50 room hotels</v>
      </c>
      <c r="F11" s="706"/>
      <c r="G11" s="696"/>
      <c r="H11" s="696"/>
      <c r="I11" s="743">
        <v>49</v>
      </c>
      <c r="J11" s="744">
        <v>8620</v>
      </c>
      <c r="K11" s="755">
        <v>-2</v>
      </c>
      <c r="L11" s="755">
        <v>401</v>
      </c>
      <c r="M11" s="755" t="str">
        <v/>
      </c>
      <c r="N11" s="756">
        <v>8620</v>
      </c>
      <c r="O11" s="734"/>
      <c r="P11" s="421"/>
      <c r="Q11" s="421"/>
      <c r="R11" s="421"/>
      <c r="S11" s="421"/>
      <c r="T11" s="421"/>
      <c r="U11" s="421"/>
      <c r="V11" s="421"/>
      <c r="W11" s="421"/>
      <c r="X11" s="735"/>
      <c r="Y11" s="485"/>
      <c r="Z11" s="485"/>
      <c r="AA11" s="484"/>
      <c r="AB11" s="483"/>
    </row>
    <row r="12" spans="1:28" ht="16.2" customHeight="1" thickBot="1" x14ac:dyDescent="0.35">
      <c r="E12" s="695" t="str">
        <v>10-50 room hotels</v>
      </c>
      <c r="F12" s="706"/>
      <c r="G12" s="696"/>
      <c r="H12" s="696"/>
      <c r="I12" s="745">
        <v>191</v>
      </c>
      <c r="J12" s="746">
        <v>8319</v>
      </c>
      <c r="K12" s="757">
        <v>-1</v>
      </c>
      <c r="L12" s="757">
        <v>-325</v>
      </c>
      <c r="M12" s="757" t="str">
        <v/>
      </c>
      <c r="N12" s="758">
        <v>8319</v>
      </c>
      <c r="O12" s="151"/>
      <c r="P12" s="152"/>
      <c r="Q12" s="152"/>
      <c r="R12" s="152"/>
      <c r="S12" s="152"/>
      <c r="T12" s="152"/>
      <c r="U12" s="152"/>
      <c r="V12" s="152"/>
      <c r="W12" s="152"/>
      <c r="X12" s="736"/>
      <c r="Y12" s="240"/>
      <c r="Z12" s="485"/>
      <c r="AA12" s="484"/>
      <c r="AB12" s="483"/>
    </row>
    <row r="13" spans="1:28" ht="16.2" customHeight="1" thickBot="1" x14ac:dyDescent="0.35">
      <c r="E13" s="695" t="str">
        <v>&lt;10 room hotels/others</v>
      </c>
      <c r="F13" s="706"/>
      <c r="G13" s="696"/>
      <c r="H13" s="696"/>
      <c r="I13" s="745">
        <v>766</v>
      </c>
      <c r="J13" s="746">
        <v>7867</v>
      </c>
      <c r="K13" s="757">
        <v>-44</v>
      </c>
      <c r="L13" s="757">
        <v>-401</v>
      </c>
      <c r="M13" s="757" t="str">
        <v/>
      </c>
      <c r="N13" s="758" t="str">
        <v/>
      </c>
      <c r="O13" s="151"/>
      <c r="P13" s="152"/>
      <c r="Q13" s="152"/>
      <c r="R13" s="152"/>
      <c r="S13" s="152"/>
      <c r="T13" s="152"/>
      <c r="U13" s="152"/>
      <c r="V13" s="152"/>
      <c r="W13" s="152"/>
      <c r="X13" s="736"/>
      <c r="Y13" s="240"/>
      <c r="Z13" s="485"/>
      <c r="AA13" s="484"/>
      <c r="AB13" s="483"/>
    </row>
    <row r="14" spans="1:28" ht="16.2" customHeight="1" thickBot="1" x14ac:dyDescent="0.35">
      <c r="E14" s="695" t="str">
        <v/>
      </c>
      <c r="F14" s="706"/>
      <c r="G14" s="696"/>
      <c r="H14" s="696"/>
      <c r="I14" s="745" t="str">
        <v/>
      </c>
      <c r="J14" s="746" t="str">
        <v/>
      </c>
      <c r="K14" s="757" t="str">
        <v/>
      </c>
      <c r="L14" s="757" t="str">
        <v/>
      </c>
      <c r="M14" s="757" t="str">
        <v/>
      </c>
      <c r="N14" s="758" t="str">
        <v/>
      </c>
      <c r="O14" s="151"/>
      <c r="P14" s="152"/>
      <c r="Q14" s="152"/>
      <c r="R14" s="152"/>
      <c r="S14" s="152"/>
      <c r="T14" s="152"/>
      <c r="U14" s="152"/>
      <c r="V14" s="152"/>
      <c r="W14" s="152"/>
      <c r="X14" s="736"/>
      <c r="Y14" s="240"/>
      <c r="Z14" s="485"/>
      <c r="AA14" s="484"/>
      <c r="AB14" s="483"/>
    </row>
    <row r="15" spans="1:28" ht="16.2" customHeight="1" thickBot="1" x14ac:dyDescent="0.35">
      <c r="E15" s="695" t="str">
        <v/>
      </c>
      <c r="F15" s="706"/>
      <c r="G15" s="696"/>
      <c r="H15" s="696"/>
      <c r="I15" s="747" t="str">
        <v/>
      </c>
      <c r="J15" s="748" t="str">
        <v/>
      </c>
      <c r="K15" s="759" t="str">
        <v/>
      </c>
      <c r="L15" s="759" t="str">
        <v/>
      </c>
      <c r="M15" s="759" t="str">
        <v/>
      </c>
      <c r="N15" s="760" t="str">
        <v/>
      </c>
      <c r="O15" s="151"/>
      <c r="P15" s="152"/>
      <c r="Q15" s="152"/>
      <c r="R15" s="152"/>
      <c r="S15" s="152"/>
      <c r="T15" s="152"/>
      <c r="U15" s="152"/>
      <c r="V15" s="152"/>
      <c r="W15" s="152"/>
      <c r="X15" s="736"/>
      <c r="Y15" s="240"/>
      <c r="Z15" s="485"/>
      <c r="AA15" s="484"/>
      <c r="AB15" s="483"/>
    </row>
    <row r="16" spans="1:28" ht="16.2" customHeight="1" thickTop="1" thickBot="1" x14ac:dyDescent="0.35">
      <c r="E16" s="695"/>
      <c r="F16" s="706"/>
      <c r="G16" s="696"/>
      <c r="H16" s="696"/>
      <c r="I16" s="721"/>
      <c r="J16" s="722"/>
      <c r="K16" s="719"/>
      <c r="L16" s="720"/>
      <c r="M16" s="719"/>
      <c r="N16" s="720"/>
      <c r="O16" s="695"/>
      <c r="P16" s="706"/>
      <c r="Q16" s="696"/>
      <c r="R16" s="163"/>
      <c r="S16" s="732"/>
      <c r="T16" s="732"/>
      <c r="U16" s="733"/>
      <c r="V16" s="733"/>
      <c r="W16" s="733"/>
      <c r="X16" s="716"/>
      <c r="Y16" s="270"/>
      <c r="Z16" s="485"/>
      <c r="AA16" s="484"/>
      <c r="AB16" s="483"/>
    </row>
    <row r="17" spans="4:28" ht="16.2" customHeight="1" thickTop="1" thickBot="1" x14ac:dyDescent="0.35">
      <c r="E17" s="1132" t="str">
        <f>"NON-SERVICED ACCOMMODATION "&amp;CHAR(10)&amp;CHARTYEAR</f>
        <v>NON-SERVICED ACCOMMODATION 
2022</v>
      </c>
      <c r="F17" s="1133"/>
      <c r="G17" s="1133"/>
      <c r="H17" s="1133"/>
      <c r="I17" s="1109">
        <f>CHARTYEAR</f>
        <v>2022</v>
      </c>
      <c r="J17" s="1110"/>
      <c r="K17" s="1099" t="str">
        <f>IF(CHARTYEAR=INDEX(REP.yearsrange,1),"","Change on "&amp;INDEX(REP.yearsrange,MATCH(CHARTYEAR,REP.yearsrange,0)-1))</f>
        <v>Change on 2021</v>
      </c>
      <c r="L17" s="1100"/>
      <c r="M17" s="1097" t="str">
        <f>IF(OR(CHARTYEAR=INDEX(REP.yearsrange,1),CHARTYEAR=INDEX(REP.yearsrange,2)),"","Change on "&amp;INDEX(REP.yearsrange,1))</f>
        <v>Change on 2011</v>
      </c>
      <c r="N17" s="1098"/>
      <c r="O17" s="162"/>
      <c r="P17" s="697"/>
      <c r="Q17" s="696"/>
      <c r="R17" s="248"/>
      <c r="S17" s="418"/>
      <c r="T17" s="698"/>
      <c r="U17" s="418"/>
      <c r="V17" s="418"/>
      <c r="W17" s="418"/>
      <c r="X17" s="700"/>
      <c r="Y17" s="240"/>
      <c r="Z17" s="485"/>
      <c r="AA17" s="484"/>
      <c r="AB17" s="483"/>
    </row>
    <row r="18" spans="4:28" ht="16.2" customHeight="1" thickTop="1" thickBot="1" x14ac:dyDescent="0.35">
      <c r="E18" s="1134"/>
      <c r="F18" s="1135"/>
      <c r="G18" s="1135"/>
      <c r="H18" s="1135"/>
      <c r="I18" s="717" t="s">
        <v>175</v>
      </c>
      <c r="J18" s="718" t="s">
        <v>176</v>
      </c>
      <c r="K18" s="232" t="str">
        <f>IF(K17="","",I18)</f>
        <v>Est.</v>
      </c>
      <c r="L18" s="723" t="str">
        <f>IF(K17="","",J18)</f>
        <v>Beds</v>
      </c>
      <c r="M18" s="724" t="str">
        <f>IF(M17="","",I18)</f>
        <v>Est.</v>
      </c>
      <c r="N18" s="725" t="str">
        <f>IF(M17="","",J18)</f>
        <v>Beds</v>
      </c>
      <c r="O18" s="162"/>
      <c r="P18" s="697"/>
      <c r="Q18" s="696"/>
      <c r="R18" s="248"/>
      <c r="S18" s="418"/>
      <c r="T18" s="159"/>
      <c r="U18" s="418"/>
      <c r="V18" s="418"/>
      <c r="W18" s="418"/>
      <c r="X18" s="700"/>
      <c r="Y18" s="240"/>
      <c r="Z18" s="485"/>
      <c r="AA18" s="484"/>
      <c r="AB18" s="483"/>
    </row>
    <row r="19" spans="4:28" ht="16.2" customHeight="1" thickTop="1" thickBot="1" x14ac:dyDescent="0.35">
      <c r="E19" s="726" t="s">
        <v>162</v>
      </c>
      <c r="F19" s="727"/>
      <c r="G19" s="728"/>
      <c r="H19" s="731"/>
      <c r="I19" s="741">
        <f t="array" ref="I19:I24">IFERROR(INDEX(DATA!$T:$T,MATCH(CHARTYEAR&amp;".Accommodation - Establishments.Non-Serviced Accommodation "&amp;{"Total";"1";"2";"3";"4";"5"},REP.lookup,0)),"")</f>
        <v>4532</v>
      </c>
      <c r="J19" s="741">
        <f t="array" ref="J19:J24">IFERROR(INDEX(DATA!$T:$T,MATCH(CHARTYEAR&amp;".Accommodation - Bed Spaces.Non-Serviced Accommodation "&amp;{"Total";"1";"2";"3";"4";"5"},REP.lookup,0)),"")</f>
        <v>223306.68725133353</v>
      </c>
      <c r="K19" s="754">
        <f t="array" ref="K19:K24">IFERROR(IF(K$18="","",I19:I24-INDEX(DATA!$T:$T,MATCH(CHARTYEAR-1&amp;".Accommodation - Establishments.Non-Serviced Accommodation "&amp;{"Total";"1";"2";"3";"4";"5"},REP.lookup,0))),"")</f>
        <v>163</v>
      </c>
      <c r="L19" s="754">
        <f t="array" ref="L19:L24">IFERROR(IF(L$18="","",J19:J24-INDEX(DATA!$T:$T,MATCH(CHARTYEAR-1&amp;".Accommodation - Bed Spaces.Non-Serviced Accommodation "&amp;{"Total";"1";"2";"3";"4";"5"},REP.lookup,0))),"")</f>
        <v>-466.59419897338375</v>
      </c>
      <c r="M19" s="754" t="str">
        <f t="array" ref="M19:M24">IFERROR(IF(M$18="","",I19:I24-INDEX(DATA!$T:$T,MATCH(INDEX(REP.yearsrange,1)&amp;".Accommodation - Establishments.Non-Serviced Accommodation "&amp;{"Total";"1";"2";"3";"4";"5"},REP.lookup,0))),"")</f>
        <v/>
      </c>
      <c r="N19" s="754" t="str">
        <f t="array" ref="N19:N24">IFERROR(IF(N$18="","",J19:J24-INDEX(DATA!$T:$T,MATCH(INDEX(REP.yearsrange,1)&amp;".Accommodation - Bed Spaces.Non-Serviced Accommodation "&amp;{"Total";"1";"2";"3";"4";"5"},REP.lookup,0))),"")</f>
        <v/>
      </c>
      <c r="O19" s="162"/>
      <c r="P19" s="697"/>
      <c r="Q19" s="696"/>
      <c r="R19" s="248"/>
      <c r="S19" s="418"/>
      <c r="T19" s="159"/>
      <c r="U19" s="418"/>
      <c r="V19" s="418"/>
      <c r="W19" s="418"/>
      <c r="X19" s="700"/>
      <c r="Y19" s="240"/>
      <c r="Z19" s="485"/>
      <c r="AA19" s="484"/>
      <c r="AB19" s="483"/>
    </row>
    <row r="20" spans="4:28" ht="16.2" customHeight="1" thickTop="1" thickBot="1" x14ac:dyDescent="0.35">
      <c r="E20" s="695" t="str">
        <f t="array" ref="E20:E24">IFERROR(IF(AVERAGE(I20:I24,K20:K24,M20:M24)&lt;&gt;0,INDEX(DATA!$G:$G,MATCH(CHARTYEAR&amp;".Accommodation - Establishments.Non-Serviced Accommodation "&amp;{"1";"2";"3";"4";"5"},REP.lookup,0)),""),"")</f>
        <v>Self catering</v>
      </c>
      <c r="F20" s="706"/>
      <c r="G20" s="696"/>
      <c r="H20" s="163"/>
      <c r="I20" s="743">
        <v>3793</v>
      </c>
      <c r="J20" s="744">
        <v>35744</v>
      </c>
      <c r="K20" s="755">
        <v>160</v>
      </c>
      <c r="L20" s="755">
        <v>643</v>
      </c>
      <c r="M20" s="755" t="str">
        <v/>
      </c>
      <c r="N20" s="756" t="str">
        <v/>
      </c>
      <c r="O20" s="162"/>
      <c r="P20" s="697"/>
      <c r="Q20" s="696"/>
      <c r="R20" s="248"/>
      <c r="S20" s="418"/>
      <c r="T20" s="159"/>
      <c r="U20" s="418"/>
      <c r="V20" s="418"/>
      <c r="W20" s="418"/>
      <c r="X20" s="700"/>
      <c r="Y20" s="240"/>
      <c r="Z20" s="485"/>
      <c r="AA20" s="484"/>
      <c r="AB20" s="483"/>
    </row>
    <row r="21" spans="4:28" ht="16.2" customHeight="1" thickBot="1" x14ac:dyDescent="0.35">
      <c r="E21" s="695" t="str">
        <v>Static caravans/chalets</v>
      </c>
      <c r="F21" s="706"/>
      <c r="G21" s="696"/>
      <c r="H21" s="163"/>
      <c r="I21" s="745">
        <v>347</v>
      </c>
      <c r="J21" s="746">
        <v>24445.021574751299</v>
      </c>
      <c r="K21" s="757">
        <v>19</v>
      </c>
      <c r="L21" s="757">
        <v>117.21956547646914</v>
      </c>
      <c r="M21" s="757" t="str">
        <v/>
      </c>
      <c r="N21" s="758">
        <v>24445.021574751299</v>
      </c>
      <c r="O21" s="711"/>
      <c r="P21" s="707"/>
      <c r="Q21" s="707"/>
      <c r="R21" s="707"/>
      <c r="S21" s="707"/>
      <c r="T21" s="707"/>
      <c r="U21" s="707"/>
      <c r="V21" s="707"/>
      <c r="W21" s="707"/>
      <c r="X21" s="712"/>
      <c r="Y21" s="240"/>
      <c r="Z21" s="485"/>
      <c r="AA21" s="484"/>
      <c r="AB21" s="483"/>
    </row>
    <row r="22" spans="4:28" ht="16.2" customHeight="1" thickBot="1" x14ac:dyDescent="0.35">
      <c r="E22" s="695" t="str">
        <v>Touring caravans/camping</v>
      </c>
      <c r="F22" s="706"/>
      <c r="G22" s="696"/>
      <c r="H22" s="163"/>
      <c r="I22" s="745">
        <v>392</v>
      </c>
      <c r="J22" s="746">
        <v>50532</v>
      </c>
      <c r="K22" s="757">
        <v>-16</v>
      </c>
      <c r="L22" s="757">
        <v>-885</v>
      </c>
      <c r="M22" s="757" t="str">
        <v/>
      </c>
      <c r="N22" s="758" t="str">
        <v/>
      </c>
      <c r="O22" s="247"/>
      <c r="P22" s="701"/>
      <c r="Q22" s="701"/>
      <c r="R22" s="248"/>
      <c r="S22" s="248"/>
      <c r="T22" s="248"/>
      <c r="U22" s="248"/>
      <c r="V22" s="248"/>
      <c r="W22" s="697"/>
      <c r="X22" s="710"/>
      <c r="Y22" s="240"/>
      <c r="Z22" s="485"/>
      <c r="AA22" s="484"/>
      <c r="AB22" s="483"/>
    </row>
    <row r="23" spans="4:28" ht="16.2" customHeight="1" thickBot="1" x14ac:dyDescent="0.35">
      <c r="E23" s="695" t="str">
        <v>Not-for-hire static</v>
      </c>
      <c r="F23" s="706"/>
      <c r="G23" s="696"/>
      <c r="H23" s="163"/>
      <c r="I23" s="745">
        <v>0</v>
      </c>
      <c r="J23" s="746">
        <v>112585.66567658223</v>
      </c>
      <c r="K23" s="757">
        <v>0</v>
      </c>
      <c r="L23" s="757">
        <v>-341.81376444984926</v>
      </c>
      <c r="M23" s="757" t="str">
        <v/>
      </c>
      <c r="N23" s="758">
        <v>112585.66567658223</v>
      </c>
      <c r="O23" s="162"/>
      <c r="P23" s="701"/>
      <c r="Q23" s="701"/>
      <c r="R23" s="605"/>
      <c r="S23" s="605"/>
      <c r="T23" s="605"/>
      <c r="U23" s="605"/>
      <c r="V23" s="605"/>
      <c r="W23" s="605"/>
      <c r="X23" s="702"/>
      <c r="Y23" s="240"/>
      <c r="AA23" s="485"/>
      <c r="AB23" s="483"/>
    </row>
    <row r="24" spans="4:28" ht="16.2" customHeight="1" thickBot="1" x14ac:dyDescent="0.35">
      <c r="E24" s="695" t="str">
        <v/>
      </c>
      <c r="F24" s="706"/>
      <c r="G24" s="696"/>
      <c r="H24" s="163"/>
      <c r="I24" s="747" t="str">
        <v/>
      </c>
      <c r="J24" s="748" t="str">
        <v/>
      </c>
      <c r="K24" s="759" t="str">
        <v/>
      </c>
      <c r="L24" s="759" t="str">
        <v/>
      </c>
      <c r="M24" s="759" t="str">
        <v/>
      </c>
      <c r="N24" s="760" t="str">
        <v/>
      </c>
      <c r="O24" s="162"/>
      <c r="P24" s="701"/>
      <c r="Q24" s="701"/>
      <c r="R24" s="159"/>
      <c r="S24" s="159"/>
      <c r="T24" s="159"/>
      <c r="U24" s="159"/>
      <c r="V24" s="159"/>
      <c r="W24" s="159"/>
      <c r="X24" s="416"/>
      <c r="Y24" s="240"/>
      <c r="AA24" s="485"/>
      <c r="AB24" s="483"/>
    </row>
    <row r="25" spans="4:28" ht="16.2" customHeight="1" thickTop="1" thickBot="1" x14ac:dyDescent="0.35">
      <c r="E25" s="695"/>
      <c r="F25" s="706"/>
      <c r="G25" s="696"/>
      <c r="H25" s="163"/>
      <c r="I25" s="732"/>
      <c r="J25" s="732"/>
      <c r="K25" s="733"/>
      <c r="L25" s="733"/>
      <c r="M25" s="733"/>
      <c r="N25" s="716"/>
      <c r="O25" s="162"/>
      <c r="P25" s="701"/>
      <c r="Q25" s="701"/>
      <c r="R25" s="159"/>
      <c r="S25" s="159"/>
      <c r="T25" s="159"/>
      <c r="U25" s="159"/>
      <c r="V25" s="159"/>
      <c r="W25" s="159"/>
      <c r="X25" s="416"/>
      <c r="Y25" s="240"/>
      <c r="AA25" s="485"/>
      <c r="AB25" s="483"/>
    </row>
    <row r="26" spans="4:28" ht="16.2" customHeight="1" thickTop="1" thickBot="1" x14ac:dyDescent="0.35">
      <c r="E26" s="1105" t="str">
        <f>"DISTRIBUTION BY TYPE OF ACCOMMODATION"&amp;CHAR(10)&amp;CHARTYEAR</f>
        <v>DISTRIBUTION BY TYPE OF ACCOMMODATION
2022</v>
      </c>
      <c r="F26" s="1106"/>
      <c r="G26" s="1106"/>
      <c r="H26" s="1106"/>
      <c r="I26" s="1109">
        <f>CHARTYEAR</f>
        <v>2022</v>
      </c>
      <c r="J26" s="1110"/>
      <c r="K26" s="1099" t="str">
        <f>IF(CHARTYEAR=INDEX(REP.yearsrange,1),"","Change on "&amp;INDEX(REP.yearsrange,MATCH(CHARTYEAR,REP.yearsrange,0)-1))</f>
        <v>Change on 2021</v>
      </c>
      <c r="L26" s="1100"/>
      <c r="M26" s="1097" t="str">
        <f>IF(OR(CHARTYEAR=INDEX(REP.yearsrange,1),CHARTYEAR=INDEX(REP.yearsrange,2)),"","Change on "&amp;INDEX(REP.yearsrange,1))</f>
        <v>Change on 2011</v>
      </c>
      <c r="N26" s="1098"/>
      <c r="O26" s="162"/>
      <c r="P26" s="163"/>
      <c r="Q26" s="163"/>
      <c r="R26" s="248"/>
      <c r="S26" s="418"/>
      <c r="T26" s="418"/>
      <c r="U26" s="418"/>
      <c r="V26" s="418"/>
      <c r="W26" s="418"/>
      <c r="X26" s="700"/>
      <c r="Y26" s="240"/>
      <c r="Z26" s="485"/>
      <c r="AA26" s="484"/>
      <c r="AB26" s="483"/>
    </row>
    <row r="27" spans="4:28" ht="16.2" customHeight="1" thickTop="1" thickBot="1" x14ac:dyDescent="0.35">
      <c r="D27" s="196"/>
      <c r="E27" s="1107"/>
      <c r="F27" s="1108"/>
      <c r="G27" s="1108"/>
      <c r="H27" s="1108"/>
      <c r="I27" s="694" t="s">
        <v>175</v>
      </c>
      <c r="J27" s="694" t="s">
        <v>176</v>
      </c>
      <c r="K27" s="130" t="str">
        <f>IF(K26="","",I27)</f>
        <v>Est.</v>
      </c>
      <c r="L27" s="130" t="str">
        <f>IF(K26="","",J27)</f>
        <v>Beds</v>
      </c>
      <c r="M27" s="742" t="str">
        <f>IF(M26="","",I27)</f>
        <v>Est.</v>
      </c>
      <c r="N27" s="742" t="str">
        <f>IF(M26="","",J27)</f>
        <v>Beds</v>
      </c>
      <c r="O27" s="162"/>
      <c r="P27" s="163"/>
      <c r="Q27" s="163"/>
      <c r="R27" s="248"/>
      <c r="S27" s="418"/>
      <c r="T27" s="418"/>
      <c r="U27" s="418"/>
      <c r="V27" s="418"/>
      <c r="W27" s="418"/>
      <c r="X27" s="700"/>
      <c r="Y27" s="240"/>
      <c r="Z27" s="485"/>
      <c r="AA27" s="484"/>
      <c r="AB27" s="483"/>
    </row>
    <row r="28" spans="4:28" ht="16.2" customHeight="1" thickTop="1" thickBot="1" x14ac:dyDescent="0.35">
      <c r="D28" s="196"/>
      <c r="E28" s="726" t="s">
        <v>177</v>
      </c>
      <c r="F28" s="728"/>
      <c r="G28" s="730"/>
      <c r="H28" s="728"/>
      <c r="I28" s="741">
        <f>SUM(I10,I19)</f>
        <v>5538</v>
      </c>
      <c r="J28" s="741">
        <f>SUM(J10,J19)</f>
        <v>248112.68725133353</v>
      </c>
      <c r="K28" s="754">
        <f>IF(CHARTYEAR.no&gt;1,SUM(K10,K19),"")</f>
        <v>116</v>
      </c>
      <c r="L28" s="754">
        <f>IF(CHARTYEAR.no&gt;1,SUM(L10,L19),"")</f>
        <v>-791.59419897338375</v>
      </c>
      <c r="M28" s="754">
        <f>IF(CHARTYEAR.no&gt;2,SUM(M10,M19),"")</f>
        <v>0</v>
      </c>
      <c r="N28" s="754">
        <f>IF(CHARTYEAR.no&gt;2,SUM(N10,N19),"")</f>
        <v>24806</v>
      </c>
      <c r="O28" s="162"/>
      <c r="P28" s="163"/>
      <c r="Q28" s="163"/>
      <c r="R28" s="248"/>
      <c r="S28" s="418"/>
      <c r="T28" s="418"/>
      <c r="U28" s="418"/>
      <c r="V28" s="418"/>
      <c r="W28" s="418"/>
      <c r="X28" s="700"/>
      <c r="Y28" s="240"/>
      <c r="Z28" s="485"/>
      <c r="AA28" s="484"/>
      <c r="AB28" s="484"/>
    </row>
    <row r="29" spans="4:28" ht="16.2" customHeight="1" thickTop="1" thickBot="1" x14ac:dyDescent="0.35">
      <c r="D29" s="196"/>
      <c r="E29" s="695" t="s">
        <v>178</v>
      </c>
      <c r="F29" s="696"/>
      <c r="G29" s="699"/>
      <c r="H29" s="696"/>
      <c r="I29" s="772">
        <f>IFERROR(I$10/I$28,0)</f>
        <v>0.18165402672444925</v>
      </c>
      <c r="J29" s="773">
        <f>IFERROR(J$10/J$28,0)</f>
        <v>9.9978764789532854E-2</v>
      </c>
      <c r="K29" s="749"/>
      <c r="L29" s="749"/>
      <c r="M29" s="749"/>
      <c r="N29" s="750"/>
      <c r="O29" s="162"/>
      <c r="P29" s="701"/>
      <c r="Q29" s="701"/>
      <c r="R29" s="248"/>
      <c r="S29" s="418"/>
      <c r="T29" s="418"/>
      <c r="U29" s="418"/>
      <c r="V29" s="418"/>
      <c r="W29" s="418"/>
      <c r="X29" s="700"/>
      <c r="Y29" s="240"/>
      <c r="Z29" s="485"/>
      <c r="AA29" s="484"/>
      <c r="AB29" s="484"/>
    </row>
    <row r="30" spans="4:28" ht="16.2" customHeight="1" thickBot="1" x14ac:dyDescent="0.35">
      <c r="D30" s="196"/>
      <c r="E30" s="695" t="s">
        <v>179</v>
      </c>
      <c r="F30" s="707"/>
      <c r="G30" s="707"/>
      <c r="H30" s="707"/>
      <c r="I30" s="774">
        <f>IFERROR(I$19/I$28,0)</f>
        <v>0.8183459732755507</v>
      </c>
      <c r="J30" s="775">
        <f>IFERROR(J$19/J$28,0)</f>
        <v>0.90002123521046717</v>
      </c>
      <c r="K30" s="751"/>
      <c r="L30" s="751"/>
      <c r="M30" s="751"/>
      <c r="N30" s="752"/>
      <c r="O30" s="162"/>
      <c r="P30" s="488"/>
      <c r="Q30" s="488"/>
      <c r="R30" s="607"/>
      <c r="S30" s="418"/>
      <c r="T30" s="440"/>
      <c r="U30" s="703"/>
      <c r="V30" s="418"/>
      <c r="W30" s="418"/>
      <c r="X30" s="441"/>
      <c r="Y30" s="240"/>
      <c r="Z30" s="485"/>
      <c r="AA30" s="484"/>
      <c r="AB30" s="484"/>
    </row>
    <row r="31" spans="4:28" ht="16.2" customHeight="1" thickTop="1" x14ac:dyDescent="0.3">
      <c r="D31" s="196"/>
      <c r="E31" s="695"/>
      <c r="F31" s="706"/>
      <c r="G31" s="696"/>
      <c r="H31" s="163"/>
      <c r="I31" s="163"/>
      <c r="J31" s="163"/>
      <c r="K31" s="163"/>
      <c r="L31" s="163"/>
      <c r="M31" s="163"/>
      <c r="N31" s="714"/>
      <c r="O31" s="162"/>
      <c r="P31" s="492"/>
      <c r="Q31" s="492"/>
      <c r="R31" s="159"/>
      <c r="S31" s="418"/>
      <c r="T31" s="440"/>
      <c r="U31" s="440"/>
      <c r="V31" s="418"/>
      <c r="W31" s="418"/>
      <c r="X31" s="441"/>
      <c r="Y31" s="240"/>
      <c r="Z31" s="485"/>
      <c r="AA31" s="484"/>
      <c r="AB31" s="483"/>
    </row>
    <row r="32" spans="4:28" ht="16.2" customHeight="1" thickBot="1" x14ac:dyDescent="0.35">
      <c r="D32" s="196"/>
      <c r="E32" s="1105" t="str">
        <f>"SEASONAL AVAILABILITY OF BED SUPPLY"&amp;CHAR(10)&amp;CHARTYEAR</f>
        <v>SEASONAL AVAILABILITY OF BED SUPPLY
2022</v>
      </c>
      <c r="F32" s="1106"/>
      <c r="G32" s="1106"/>
      <c r="H32" s="1106"/>
      <c r="I32" s="904">
        <f>CHARTYEAR</f>
        <v>2022</v>
      </c>
      <c r="J32" s="905"/>
      <c r="K32" s="905"/>
      <c r="L32" s="905"/>
      <c r="M32" s="905"/>
      <c r="N32" s="905"/>
      <c r="O32" s="905"/>
      <c r="P32" s="905"/>
      <c r="Q32" s="905"/>
      <c r="R32" s="905"/>
      <c r="S32" s="905"/>
      <c r="T32" s="905"/>
      <c r="U32" s="440"/>
      <c r="V32" s="418"/>
      <c r="W32" s="418"/>
      <c r="X32" s="441"/>
      <c r="Y32" s="240"/>
      <c r="Z32" s="485"/>
      <c r="AA32" s="484"/>
      <c r="AB32" s="483"/>
    </row>
    <row r="33" spans="4:26" ht="16.2" customHeight="1" thickTop="1" thickBot="1" x14ac:dyDescent="0.35">
      <c r="D33" s="196"/>
      <c r="E33" s="1107"/>
      <c r="F33" s="1108"/>
      <c r="G33" s="1108"/>
      <c r="H33" s="1108"/>
      <c r="I33" s="737" t="s">
        <v>26</v>
      </c>
      <c r="J33" s="737" t="s">
        <v>27</v>
      </c>
      <c r="K33" s="737" t="s">
        <v>28</v>
      </c>
      <c r="L33" s="781" t="s">
        <v>29</v>
      </c>
      <c r="M33" s="738" t="s">
        <v>30</v>
      </c>
      <c r="N33" s="738" t="s">
        <v>31</v>
      </c>
      <c r="O33" s="785" t="s">
        <v>32</v>
      </c>
      <c r="P33" s="739" t="s">
        <v>33</v>
      </c>
      <c r="Q33" s="739" t="s">
        <v>34</v>
      </c>
      <c r="R33" s="769" t="s">
        <v>35</v>
      </c>
      <c r="S33" s="740" t="s">
        <v>36</v>
      </c>
      <c r="T33" s="740" t="s">
        <v>37</v>
      </c>
      <c r="U33" s="440"/>
      <c r="V33" s="418"/>
      <c r="W33" s="418"/>
      <c r="X33" s="441"/>
      <c r="Y33" s="240"/>
      <c r="Z33" s="240"/>
    </row>
    <row r="34" spans="4:26" ht="16.2" customHeight="1" thickTop="1" thickBot="1" x14ac:dyDescent="0.35">
      <c r="D34" s="196"/>
      <c r="E34" s="726" t="s">
        <v>177</v>
      </c>
      <c r="F34" s="728"/>
      <c r="G34" s="730"/>
      <c r="H34" s="728"/>
      <c r="I34" s="776">
        <f>IFERROR(SUM(I35:I36),"")</f>
        <v>103314.25965853935</v>
      </c>
      <c r="J34" s="776">
        <f t="shared" ref="J34:T34" si="0">IFERROR(SUM(J35:J36),"")</f>
        <v>105787.1833409394</v>
      </c>
      <c r="K34" s="776">
        <f t="shared" si="0"/>
        <v>244322.68193417761</v>
      </c>
      <c r="L34" s="782">
        <f t="shared" si="0"/>
        <v>261390.32403351369</v>
      </c>
      <c r="M34" s="776">
        <f t="shared" si="0"/>
        <v>259583.52877730867</v>
      </c>
      <c r="N34" s="776">
        <f t="shared" si="0"/>
        <v>262972.33884987712</v>
      </c>
      <c r="O34" s="782">
        <f t="shared" si="0"/>
        <v>261710.00732419544</v>
      </c>
      <c r="P34" s="776">
        <f t="shared" si="0"/>
        <v>261371.25935054087</v>
      </c>
      <c r="Q34" s="776">
        <f t="shared" si="0"/>
        <v>263806.55180380552</v>
      </c>
      <c r="R34" s="782">
        <f t="shared" si="0"/>
        <v>259814.36983496102</v>
      </c>
      <c r="S34" s="776">
        <f t="shared" si="0"/>
        <v>163897.05144773427</v>
      </c>
      <c r="T34" s="776">
        <f t="shared" si="0"/>
        <v>131772.02150799998</v>
      </c>
      <c r="U34" s="418"/>
      <c r="V34" s="418"/>
      <c r="W34" s="418"/>
      <c r="X34" s="441"/>
      <c r="Y34" s="705"/>
      <c r="Z34" s="240"/>
    </row>
    <row r="35" spans="4:26" ht="16.2" customHeight="1" thickTop="1" thickBot="1" x14ac:dyDescent="0.35">
      <c r="D35" s="196"/>
      <c r="E35" s="695" t="s">
        <v>43</v>
      </c>
      <c r="F35" s="696"/>
      <c r="G35" s="699"/>
      <c r="H35" s="696"/>
      <c r="I35" s="770">
        <f>IFERROR(INDEX(DATA!H:H,MATCH(CHARTYEAR&amp;".Accommodation.Serviced Accommodation",REP.lookup,0)),"")</f>
        <v>22455</v>
      </c>
      <c r="J35" s="771">
        <f>IFERROR(INDEX(DATA!I:I,MATCH(CHARTYEAR&amp;".Accommodation.Serviced Accommodation",REP.lookup,0)),"")</f>
        <v>23403</v>
      </c>
      <c r="K35" s="779">
        <f>IFERROR(INDEX(DATA!J:J,MATCH(CHARTYEAR&amp;".Accommodation.Serviced Accommodation",REP.lookup,0)),"")</f>
        <v>24347</v>
      </c>
      <c r="L35" s="783">
        <f>IFERROR(INDEX(DATA!K:K,MATCH(CHARTYEAR&amp;".Accommodation.Serviced Accommodation",REP.lookup,0)),"")</f>
        <v>24789</v>
      </c>
      <c r="M35" s="771">
        <f>IFERROR(INDEX(DATA!L:L,MATCH(CHARTYEAR&amp;".Accommodation.Serviced Accommodation",REP.lookup,0)),"")</f>
        <v>24781</v>
      </c>
      <c r="N35" s="779">
        <f>IFERROR(INDEX(DATA!M:M,MATCH(CHARTYEAR&amp;".Accommodation.Serviced Accommodation",REP.lookup,0)),"")</f>
        <v>24786</v>
      </c>
      <c r="O35" s="783">
        <f>IFERROR(INDEX(DATA!N:N,MATCH(CHARTYEAR&amp;".Accommodation.Serviced Accommodation",REP.lookup,0)),"")</f>
        <v>24806</v>
      </c>
      <c r="P35" s="771">
        <f>IFERROR(INDEX(DATA!O:O,MATCH(CHARTYEAR&amp;".Accommodation.Serviced Accommodation",REP.lookup,0)),"")</f>
        <v>24806</v>
      </c>
      <c r="Q35" s="779">
        <f>IFERROR(INDEX(DATA!P:P,MATCH(CHARTYEAR&amp;".Accommodation.Serviced Accommodation",REP.lookup,0)),"")</f>
        <v>24786</v>
      </c>
      <c r="R35" s="783">
        <f>IFERROR(INDEX(DATA!Q:Q,MATCH(CHARTYEAR&amp;".Accommodation.Serviced Accommodation",REP.lookup,0)),"")</f>
        <v>24678</v>
      </c>
      <c r="S35" s="771">
        <f>IFERROR(INDEX(DATA!R:R,MATCH(CHARTYEAR&amp;".Accommodation.Serviced Accommodation",REP.lookup,0)),"")</f>
        <v>24109</v>
      </c>
      <c r="T35" s="779">
        <f>IFERROR(INDEX(DATA!S:S,MATCH(CHARTYEAR&amp;".Accommodation.Serviced Accommodation",REP.lookup,0)),"")</f>
        <v>23469</v>
      </c>
      <c r="U35" s="418"/>
      <c r="V35" s="418"/>
      <c r="W35" s="418"/>
      <c r="X35" s="700"/>
      <c r="Y35" s="240"/>
      <c r="Z35" s="240"/>
    </row>
    <row r="36" spans="4:26" ht="16.2" customHeight="1" thickBot="1" x14ac:dyDescent="0.35">
      <c r="D36" s="196"/>
      <c r="E36" s="695" t="s">
        <v>48</v>
      </c>
      <c r="F36" s="707"/>
      <c r="G36" s="707"/>
      <c r="H36" s="707"/>
      <c r="I36" s="777">
        <f>IFERROR(INDEX(DATA!H:H,MATCH(CHARTYEAR&amp;".Accommodation.Non-Serviced Accommodation",REP.lookup,0)),"")</f>
        <v>80859.259658539348</v>
      </c>
      <c r="J36" s="778">
        <f>IFERROR(INDEX(DATA!I:I,MATCH(CHARTYEAR&amp;".Accommodation.Non-Serviced Accommodation",REP.lookup,0)),"")</f>
        <v>82384.183340939402</v>
      </c>
      <c r="K36" s="780">
        <f>IFERROR(INDEX(DATA!J:J,MATCH(CHARTYEAR&amp;".Accommodation.Non-Serviced Accommodation",REP.lookup,0)),"")</f>
        <v>219975.68193417761</v>
      </c>
      <c r="L36" s="784">
        <f>IFERROR(INDEX(DATA!K:K,MATCH(CHARTYEAR&amp;".Accommodation.Non-Serviced Accommodation",REP.lookup,0)),"")</f>
        <v>236601.32403351369</v>
      </c>
      <c r="M36" s="778">
        <f>IFERROR(INDEX(DATA!L:L,MATCH(CHARTYEAR&amp;".Accommodation.Non-Serviced Accommodation",REP.lookup,0)),"")</f>
        <v>234802.52877730867</v>
      </c>
      <c r="N36" s="780">
        <f>IFERROR(INDEX(DATA!M:M,MATCH(CHARTYEAR&amp;".Accommodation.Non-Serviced Accommodation",REP.lookup,0)),"")</f>
        <v>238186.33884987709</v>
      </c>
      <c r="O36" s="784">
        <f>IFERROR(INDEX(DATA!N:N,MATCH(CHARTYEAR&amp;".Accommodation.Non-Serviced Accommodation",REP.lookup,0)),"")</f>
        <v>236904.00732419544</v>
      </c>
      <c r="P36" s="778">
        <f>IFERROR(INDEX(DATA!O:O,MATCH(CHARTYEAR&amp;".Accommodation.Non-Serviced Accommodation",REP.lookup,0)),"")</f>
        <v>236565.25935054087</v>
      </c>
      <c r="Q36" s="780">
        <f>IFERROR(INDEX(DATA!P:P,MATCH(CHARTYEAR&amp;".Accommodation.Non-Serviced Accommodation",REP.lookup,0)),"")</f>
        <v>239020.55180380552</v>
      </c>
      <c r="R36" s="784">
        <f>IFERROR(INDEX(DATA!Q:Q,MATCH(CHARTYEAR&amp;".Accommodation.Non-Serviced Accommodation",REP.lookup,0)),"")</f>
        <v>235136.36983496102</v>
      </c>
      <c r="S36" s="778">
        <f>IFERROR(INDEX(DATA!R:R,MATCH(CHARTYEAR&amp;".Accommodation.Non-Serviced Accommodation",REP.lookup,0)),"")</f>
        <v>139788.05144773427</v>
      </c>
      <c r="T36" s="780">
        <f>IFERROR(INDEX(DATA!S:S,MATCH(CHARTYEAR&amp;".Accommodation.Non-Serviced Accommodation",REP.lookup,0)),"")</f>
        <v>108303.02150799999</v>
      </c>
      <c r="U36" s="418"/>
      <c r="V36" s="418"/>
      <c r="W36" s="418"/>
      <c r="X36" s="700"/>
      <c r="Y36" s="240"/>
      <c r="Z36" s="240"/>
    </row>
    <row r="37" spans="4:26" ht="16.2" customHeight="1" thickTop="1" thickBot="1" x14ac:dyDescent="0.35">
      <c r="D37" s="196"/>
      <c r="E37" s="695"/>
      <c r="F37" s="706"/>
      <c r="G37" s="696"/>
      <c r="H37" s="163"/>
      <c r="I37" s="163"/>
      <c r="J37" s="163"/>
      <c r="K37" s="163"/>
      <c r="L37" s="163"/>
      <c r="M37" s="163"/>
      <c r="N37" s="714"/>
      <c r="O37" s="715"/>
      <c r="P37" s="713"/>
      <c r="Q37" s="713"/>
      <c r="R37" s="713"/>
      <c r="S37" s="276"/>
      <c r="T37" s="276"/>
      <c r="U37" s="276"/>
      <c r="V37" s="276"/>
      <c r="W37" s="276"/>
      <c r="X37" s="704"/>
      <c r="Y37" s="240"/>
      <c r="Z37" s="240"/>
    </row>
    <row r="38" spans="4:26"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4:26" ht="16.2" customHeight="1" thickTop="1" x14ac:dyDescent="0.3"/>
    <row r="40" spans="4:26" ht="16.2" customHeight="1" x14ac:dyDescent="0.3">
      <c r="G40" s="240"/>
      <c r="H40" s="240"/>
      <c r="I40" s="240"/>
      <c r="J40" s="240"/>
      <c r="K40" s="240"/>
      <c r="L40" s="240"/>
      <c r="M40" s="240"/>
      <c r="N40" s="240"/>
      <c r="O40" s="240"/>
      <c r="P40" s="240"/>
      <c r="Q40" s="240"/>
      <c r="R40" s="240"/>
      <c r="S40" s="240"/>
      <c r="T40" s="240"/>
      <c r="U40" s="240"/>
      <c r="V40" s="240"/>
    </row>
    <row r="41" spans="4:26" ht="16.2" customHeight="1" x14ac:dyDescent="0.3">
      <c r="G41" s="240"/>
      <c r="H41" s="240"/>
      <c r="I41" s="240"/>
      <c r="J41" s="240"/>
      <c r="K41" s="240"/>
      <c r="L41" s="240"/>
      <c r="M41" s="240"/>
      <c r="N41" s="240"/>
      <c r="O41" s="240"/>
      <c r="P41" s="240"/>
      <c r="Q41" s="240"/>
      <c r="R41" s="240"/>
      <c r="S41" s="240"/>
      <c r="T41" s="240"/>
      <c r="U41" s="240"/>
      <c r="V41" s="240"/>
    </row>
    <row r="42" spans="4:26" ht="16.2" customHeight="1" x14ac:dyDescent="0.3">
      <c r="N42" s="240"/>
    </row>
    <row r="43" spans="4:26" ht="16.2" customHeight="1" x14ac:dyDescent="0.3">
      <c r="N43" s="240"/>
    </row>
    <row r="44" spans="4:26" ht="16.2" customHeight="1" x14ac:dyDescent="0.3">
      <c r="N44" s="240"/>
    </row>
    <row r="45" spans="4:26" ht="16.2" customHeight="1" x14ac:dyDescent="0.3">
      <c r="N45" s="240"/>
    </row>
    <row r="46" spans="4:26" ht="16.2" customHeight="1" x14ac:dyDescent="0.3">
      <c r="N46" s="240"/>
    </row>
    <row r="47" spans="4:26" ht="16.2" customHeight="1" x14ac:dyDescent="0.3">
      <c r="N47"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jDlYVx3LkR+4JzTLiN/aWjJF1n4GYf8tKpIeteW7j/g3jhSUNTkpg4n/ITGlgz0NXGKckJjhiaFxLxZ6R9+VpQ==" saltValue="1xWhoyy92M5irAFyVEWFPQ==" spinCount="100000" sheet="1" objects="1" scenarios="1"/>
  <mergeCells count="18">
    <mergeCell ref="O6:R7"/>
    <mergeCell ref="S6:T7"/>
    <mergeCell ref="U6:X7"/>
    <mergeCell ref="M17:N17"/>
    <mergeCell ref="E8:H9"/>
    <mergeCell ref="K8:L8"/>
    <mergeCell ref="M8:N8"/>
    <mergeCell ref="E17:H18"/>
    <mergeCell ref="I8:J8"/>
    <mergeCell ref="I17:J17"/>
    <mergeCell ref="M26:N26"/>
    <mergeCell ref="K17:L17"/>
    <mergeCell ref="O8:X9"/>
    <mergeCell ref="E32:H33"/>
    <mergeCell ref="I32:T32"/>
    <mergeCell ref="E26:H27"/>
    <mergeCell ref="I26:J26"/>
    <mergeCell ref="K26:L26"/>
  </mergeCells>
  <conditionalFormatting sqref="I10:L16 I19:L25 I28:L28">
    <cfRule type="expression" dxfId="25" priority="27">
      <formula>$E10=""</formula>
    </cfRule>
  </conditionalFormatting>
  <conditionalFormatting sqref="I11:N16">
    <cfRule type="expression" dxfId="24" priority="32">
      <formula>$I$10=0</formula>
    </cfRule>
  </conditionalFormatting>
  <conditionalFormatting sqref="I34:T34">
    <cfRule type="expression" dxfId="23" priority="5">
      <formula>$E34=""</formula>
    </cfRule>
  </conditionalFormatting>
  <conditionalFormatting sqref="K8:L9">
    <cfRule type="expression" dxfId="22" priority="31">
      <formula>CHARTYEAR.no&gt;1</formula>
    </cfRule>
  </conditionalFormatting>
  <conditionalFormatting sqref="K10:L16 K19:L25 K28:L28">
    <cfRule type="expression" dxfId="21" priority="36">
      <formula>CHARTYEAR.no&gt;1</formula>
    </cfRule>
  </conditionalFormatting>
  <conditionalFormatting sqref="K17:L18">
    <cfRule type="expression" dxfId="20" priority="15">
      <formula>CHARTYEAR.no&gt;1</formula>
    </cfRule>
  </conditionalFormatting>
  <conditionalFormatting sqref="K26:L27">
    <cfRule type="expression" dxfId="19" priority="12">
      <formula>CHARTYEAR.no&gt;1</formula>
    </cfRule>
  </conditionalFormatting>
  <conditionalFormatting sqref="M8:N9">
    <cfRule type="expression" dxfId="18" priority="30">
      <formula>CHARTYEAR.no&gt;2</formula>
    </cfRule>
  </conditionalFormatting>
  <conditionalFormatting sqref="M17:N18">
    <cfRule type="expression" dxfId="17" priority="14">
      <formula>CHARTYEAR.no&gt;2</formula>
    </cfRule>
  </conditionalFormatting>
  <conditionalFormatting sqref="M26:N27">
    <cfRule type="expression" dxfId="16" priority="11">
      <formula>CHARTYEAR.no&gt;2</formula>
    </cfRule>
  </conditionalFormatting>
  <conditionalFormatting sqref="P26:Q27">
    <cfRule type="expression" dxfId="15" priority="63">
      <formula>AVERAGE($O26:$Q26)&gt;2500</formula>
    </cfRule>
  </conditionalFormatting>
  <conditionalFormatting sqref="S16:V16">
    <cfRule type="expression" dxfId="14" priority="13">
      <formula>$O16=""</formula>
    </cfRule>
  </conditionalFormatting>
  <conditionalFormatting sqref="S16:X16 I20:N25">
    <cfRule type="expression" dxfId="13" priority="62">
      <formula>$I$19=0</formula>
    </cfRule>
  </conditionalFormatting>
  <conditionalFormatting sqref="U16:V16">
    <cfRule type="expression" dxfId="12" priority="17">
      <formula>CHARTYEAR.no&gt;1</formula>
    </cfRule>
  </conditionalFormatting>
  <conditionalFormatting sqref="AA28">
    <cfRule type="expression" dxfId="11" priority="51">
      <formula>AA28&gt;2500</formula>
    </cfRule>
  </conditionalFormatting>
  <conditionalFormatting sqref="AB28:AB30">
    <cfRule type="expression" dxfId="10" priority="50">
      <formula>AB28&gt;2500</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29377" r:id="rId4" name="Drop Down 1">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229378" r:id="rId5" name="Drop Down 2">
              <controlPr defaultSize="0" autoLine="0" autoPict="0">
                <anchor moveWithCells="1">
                  <from>
                    <xdr:col>5</xdr:col>
                    <xdr:colOff>335280</xdr:colOff>
                    <xdr:row>4</xdr:row>
                    <xdr:rowOff>22860</xdr:rowOff>
                  </from>
                  <to>
                    <xdr:col>7</xdr:col>
                    <xdr:colOff>198120</xdr:colOff>
                    <xdr:row>4</xdr:row>
                    <xdr:rowOff>297180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Output07">
    <tabColor theme="1" tint="0.34998626667073579"/>
    <outlinePr showOutlineSymbols="0"/>
    <pageSetUpPr autoPageBreaks="0" fitToPage="1"/>
  </sheetPr>
  <dimension ref="A1:Y70"/>
  <sheetViews>
    <sheetView showGridLines="0" showRowColHeaders="0" showZeros="0" showOutlineSymbols="0" topLeftCell="A2" zoomScaleNormal="100" workbookViewId="0">
      <pane ySplit="6" topLeftCell="A8" activePane="bottomLeft" state="frozen"/>
      <selection activeCell="AC21" sqref="AC21"/>
      <selection pane="bottomLeft" activeCell="G10" sqref="G10"/>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4.88671875" style="111"/>
    <col min="26" max="26" width="8.44140625" style="111" bestFit="1" customWidth="1"/>
    <col min="27" max="16384" width="4.88671875" style="111"/>
  </cols>
  <sheetData>
    <row r="1" spans="1:25" ht="16.2" hidden="1" customHeight="1" x14ac:dyDescent="0.3">
      <c r="A1" s="110" t="str">
        <f ca="1">MID(CELL("filename",A1),FIND("]",CELL("filename",A1))+1,255)</f>
        <v>SECTORAL ANALYSIS</v>
      </c>
      <c r="E1" s="113"/>
      <c r="F1" s="114"/>
      <c r="G1" s="114"/>
      <c r="H1" s="114"/>
      <c r="I1" s="114"/>
      <c r="J1" s="114"/>
      <c r="K1" s="114"/>
      <c r="L1" s="114"/>
      <c r="M1" s="114"/>
      <c r="N1" s="114"/>
      <c r="O1" s="114"/>
      <c r="P1" s="114"/>
      <c r="Q1" s="114"/>
      <c r="R1" s="114"/>
      <c r="S1" s="114"/>
      <c r="T1" s="114"/>
      <c r="U1" s="114"/>
      <c r="V1" s="114"/>
      <c r="W1" s="114"/>
      <c r="X1" s="115"/>
    </row>
    <row r="2" spans="1:25" ht="16.2" customHeight="1" thickTop="1" x14ac:dyDescent="0.3">
      <c r="A2" s="618">
        <f ca="1">IF(($A$3/1000000)&gt;1,1000000,IF(($A$3/1000)&gt;1,1000,1))</f>
        <v>1000000</v>
      </c>
      <c r="E2" s="116"/>
      <c r="F2" s="117"/>
      <c r="G2" s="117"/>
      <c r="H2" s="117"/>
      <c r="I2" s="117"/>
      <c r="J2" s="117"/>
      <c r="K2" s="117"/>
      <c r="L2" s="117"/>
      <c r="M2" s="117"/>
      <c r="N2" s="117"/>
      <c r="O2" s="117"/>
      <c r="P2" s="117"/>
      <c r="Q2" s="117"/>
      <c r="R2" s="117"/>
      <c r="S2" s="117"/>
      <c r="T2" s="117"/>
      <c r="U2" s="117"/>
      <c r="V2" s="117"/>
      <c r="W2" s="117"/>
      <c r="X2" s="118"/>
    </row>
    <row r="3" spans="1:25" ht="26.4" customHeight="1" x14ac:dyDescent="0.3">
      <c r="A3" s="618">
        <f t="array" aca="1" ref="A3" ca="1">IFERROR(AVERAGE(IF(TYPE.no=5,(INDEX(DATA!T:T,MATCH(REP.yearsrange&amp;"."&amp;'ECONOMIC IMPACT'!$A$1&amp;"."&amp;TOTAL,REP.lookup,0))-INDEX(DATA!T:T,MATCH(REP.yearsrange&amp;"."&amp;'ECONOMIC IMPACT'!$A$1&amp;"."&amp;DV,REP.lookup,0))),INDEX(DATA!T:T,MATCH(REP.yearsrange&amp;"."&amp;'ECONOMIC IMPACT'!$A$1&amp;"."&amp;TYPE.userselected,REP.lookup,0)))),0)</f>
        <v>2441527.5306474036</v>
      </c>
      <c r="E3" s="119"/>
      <c r="F3" s="120"/>
      <c r="G3" s="120"/>
      <c r="H3" s="120"/>
      <c r="I3" s="120"/>
      <c r="J3" s="120"/>
      <c r="K3" s="120"/>
      <c r="L3" s="120"/>
      <c r="M3" s="120"/>
      <c r="N3" s="120"/>
      <c r="O3" s="120"/>
      <c r="P3" s="120"/>
      <c r="Q3" s="120"/>
      <c r="R3" s="120"/>
      <c r="S3" s="120"/>
      <c r="T3" s="120"/>
      <c r="U3" s="120"/>
      <c r="V3" s="120"/>
      <c r="W3" s="120"/>
      <c r="X3" s="121"/>
    </row>
    <row r="4" spans="1:25" ht="26.4" customHeight="1" x14ac:dyDescent="0.3">
      <c r="E4" s="204"/>
      <c r="F4" s="205"/>
      <c r="G4" s="205"/>
      <c r="H4" s="205"/>
      <c r="I4" s="205"/>
      <c r="J4" s="205"/>
      <c r="K4" s="205"/>
      <c r="L4" s="205"/>
      <c r="M4" s="205"/>
      <c r="N4" s="205"/>
      <c r="O4" s="205"/>
      <c r="P4" s="205"/>
      <c r="Q4" s="205"/>
      <c r="R4" s="205"/>
      <c r="S4" s="205"/>
      <c r="T4" s="205"/>
      <c r="U4" s="205"/>
      <c r="V4" s="205"/>
      <c r="W4" s="205"/>
      <c r="X4" s="206"/>
    </row>
    <row r="5" spans="1:25"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5" ht="16.2" customHeight="1" thickTop="1" x14ac:dyDescent="0.3">
      <c r="E6" s="394" t="str">
        <f>REP.title1</f>
        <v>STEAM FINAL TREND REPORT FOR 2011-2022</v>
      </c>
      <c r="F6" s="395"/>
      <c r="G6" s="395"/>
      <c r="H6" s="395"/>
      <c r="I6" s="395"/>
      <c r="J6" s="395"/>
      <c r="K6" s="395"/>
      <c r="L6" s="395"/>
      <c r="M6" s="395"/>
      <c r="N6" s="1157"/>
      <c r="O6" s="1158"/>
      <c r="P6" s="1159" t="str">
        <f>MIN(REP.yearsrange)&amp;" to "&amp;MAX(REP.yearsrange)</f>
        <v>2011 to 2022</v>
      </c>
      <c r="Q6" s="1160"/>
      <c r="R6" s="1161"/>
      <c r="S6" s="1147" t="s">
        <v>38</v>
      </c>
      <c r="T6" s="1148"/>
      <c r="U6" s="1151" t="str">
        <f>IF(REP.indexed="YES","SECTORAL ANALYSIS"&amp;CHAR(10)&amp;"Indexed","SECTORAL ANALYSIS"&amp;CHAR(10)&amp;"Historic Prices")</f>
        <v>SECTORAL ANALYSIS
Historic Prices</v>
      </c>
      <c r="V6" s="1152"/>
      <c r="W6" s="1152"/>
      <c r="X6" s="1153"/>
    </row>
    <row r="7" spans="1:25" ht="16.2" customHeight="1" thickBot="1" x14ac:dyDescent="0.35">
      <c r="E7" s="396" t="str">
        <f>REP.title2</f>
        <v>NORTH WALES</v>
      </c>
      <c r="F7" s="397"/>
      <c r="G7" s="397"/>
      <c r="H7" s="397"/>
      <c r="I7" s="398"/>
      <c r="J7" s="398"/>
      <c r="K7" s="398"/>
      <c r="L7" s="398"/>
      <c r="M7" s="856"/>
      <c r="N7" s="856"/>
      <c r="O7" s="857"/>
      <c r="P7" s="1162" t="str">
        <f>IF(REP.indexed="YES",MAX(REP.yearsrange)&amp;" Prices","Historic Prices")</f>
        <v>Historic Prices</v>
      </c>
      <c r="Q7" s="1163"/>
      <c r="R7" s="1164"/>
      <c r="S7" s="1149"/>
      <c r="T7" s="1150"/>
      <c r="U7" s="1154"/>
      <c r="V7" s="1155"/>
      <c r="W7" s="1155"/>
      <c r="X7" s="1156"/>
    </row>
    <row r="8" spans="1:25" s="125" customFormat="1" ht="16.2" customHeight="1" thickTop="1" thickBot="1" x14ac:dyDescent="0.35">
      <c r="E8" s="990" t="str">
        <f>UPPER('COMPARATIVE HEADLINES'!E25)</f>
        <v xml:space="preserve">SECTORAL DISTRIBUTION OF ECONOMIC IMPACT - £BN INCLUDING VAT IN HISTORIC PRICES </v>
      </c>
      <c r="F8" s="991"/>
      <c r="G8" s="991"/>
      <c r="H8" s="991"/>
      <c r="I8" s="991"/>
      <c r="J8" s="991"/>
      <c r="K8" s="991"/>
      <c r="L8" s="991"/>
      <c r="M8" s="991"/>
      <c r="N8" s="991"/>
      <c r="O8" s="991"/>
      <c r="P8" s="991"/>
      <c r="Q8" s="991"/>
      <c r="R8" s="992"/>
      <c r="S8" s="1138"/>
      <c r="T8" s="1139"/>
      <c r="U8" s="1139"/>
      <c r="V8" s="1139"/>
      <c r="W8" s="1139"/>
      <c r="X8" s="1140"/>
    </row>
    <row r="9" spans="1:25" ht="16.2" customHeight="1" thickTop="1" thickBot="1" x14ac:dyDescent="0.35">
      <c r="E9" s="1136" t="s">
        <v>142</v>
      </c>
      <c r="F9" s="1137"/>
      <c r="G9" s="210">
        <f t="array" ref="G9:R9">TRANSPOSE(REP.yearsrange)</f>
        <v>2011</v>
      </c>
      <c r="H9" s="210">
        <v>2012</v>
      </c>
      <c r="I9" s="210">
        <v>2013</v>
      </c>
      <c r="J9" s="210">
        <v>2014</v>
      </c>
      <c r="K9" s="210">
        <v>2015</v>
      </c>
      <c r="L9" s="210">
        <v>2016</v>
      </c>
      <c r="M9" s="210">
        <v>2017</v>
      </c>
      <c r="N9" s="210">
        <v>2018</v>
      </c>
      <c r="O9" s="210">
        <v>2019</v>
      </c>
      <c r="P9" s="210">
        <v>2020</v>
      </c>
      <c r="Q9" s="210">
        <v>2021</v>
      </c>
      <c r="R9" s="210">
        <v>2022</v>
      </c>
      <c r="S9" s="211">
        <f>CHARTYEAR</f>
        <v>2022</v>
      </c>
      <c r="T9" s="212"/>
      <c r="U9" s="213"/>
      <c r="V9" s="213"/>
      <c r="W9" s="213"/>
      <c r="X9" s="213"/>
    </row>
    <row r="10" spans="1:25" ht="16.2" customHeight="1" thickTop="1" thickBot="1" x14ac:dyDescent="0.35">
      <c r="E10" s="214" t="s">
        <v>23</v>
      </c>
      <c r="F10" s="194" t="str">
        <f ca="1">IF($A$2=1,"£000s",IF(A2=1000,"£M","£Bn"))</f>
        <v>£Bn</v>
      </c>
      <c r="G10" s="642">
        <f t="array" aca="1" ref="G10:G19" ca="1">IFERROR(INDEX(DATA!$T:$T,MATCH(G$9&amp;".ECONOMIC IMPACT."&amp;$E10:$E19,REP.lookup,0))*INDEX(REP.indexationfactors,MATCH(G$9,REP.yearsrange,0))/$A$2,"")</f>
        <v>0.29201354056370687</v>
      </c>
      <c r="H10" s="642">
        <f t="array" aca="1" ref="H10:H19" ca="1">IFERROR(INDEX(DATA!$T:$T,MATCH(H$9&amp;".ECONOMIC IMPACT."&amp;$E10:$E19,REP.lookup,0))*INDEX(REP.indexationfactors,MATCH(H$9,REP.yearsrange,0))/$A$2,"")</f>
        <v>0.30491696885819763</v>
      </c>
      <c r="I10" s="642">
        <f t="array" aca="1" ref="I10:I19" ca="1">IFERROR(INDEX(DATA!$T:$T,MATCH(I$9&amp;".ECONOMIC IMPACT."&amp;$E10:$E19,REP.lookup,0))*INDEX(REP.indexationfactors,MATCH(I$9,REP.yearsrange,0))/$A$2,"")</f>
        <v>0.33556531942381118</v>
      </c>
      <c r="J10" s="642">
        <f t="array" aca="1" ref="J10:J19" ca="1">IFERROR(INDEX(DATA!$T:$T,MATCH(J$9&amp;".ECONOMIC IMPACT."&amp;$E10:$E19,REP.lookup,0))*INDEX(REP.indexationfactors,MATCH(J$9,REP.yearsrange,0))/$A$2,"")</f>
        <v>0.3467286303174319</v>
      </c>
      <c r="K10" s="642">
        <f t="array" aca="1" ref="K10:K19" ca="1">IFERROR(INDEX(DATA!$T:$T,MATCH(K$9&amp;".ECONOMIC IMPACT."&amp;$E10:$E19,REP.lookup,0))*INDEX(REP.indexationfactors,MATCH(K$9,REP.yearsrange,0))/$A$2,"")</f>
        <v>0.36467573931357355</v>
      </c>
      <c r="L10" s="642">
        <f t="array" aca="1" ref="L10:L19" ca="1">IFERROR(INDEX(DATA!$T:$T,MATCH(L$9&amp;".ECONOMIC IMPACT."&amp;$E10:$E19,REP.lookup,0))*INDEX(REP.indexationfactors,MATCH(L$9,REP.yearsrange,0))/$A$2,"")</f>
        <v>0.38335197952068412</v>
      </c>
      <c r="M10" s="642">
        <f t="array" aca="1" ref="M10:M19" ca="1">IFERROR(INDEX(DATA!$T:$T,MATCH(M$9&amp;".ECONOMIC IMPACT."&amp;$E10:$E19,REP.lookup,0))*INDEX(REP.indexationfactors,MATCH(M$9,REP.yearsrange,0))/$A$2,"")</f>
        <v>0.40655132363200641</v>
      </c>
      <c r="N10" s="642">
        <f t="array" aca="1" ref="N10:N19" ca="1">IFERROR(INDEX(DATA!$T:$T,MATCH(N$9&amp;".ECONOMIC IMPACT."&amp;$E10:$E19,REP.lookup,0))*INDEX(REP.indexationfactors,MATCH(N$9,REP.yearsrange,0))/$A$2,"")</f>
        <v>0.47602243751446244</v>
      </c>
      <c r="O10" s="642">
        <f t="array" aca="1" ref="O10:O19" ca="1">IFERROR(INDEX(DATA!$T:$T,MATCH(O$9&amp;".ECONOMIC IMPACT."&amp;$E10:$E19,REP.lookup,0))*INDEX(REP.indexationfactors,MATCH(O$9,REP.yearsrange,0))/$A$2,"")</f>
        <v>0.56688307430790053</v>
      </c>
      <c r="P10" s="642">
        <f t="array" aca="1" ref="P10:P19" ca="1">IFERROR(INDEX(DATA!$T:$T,MATCH(P$9&amp;".ECONOMIC IMPACT."&amp;$E10:$E19,REP.lookup,0))*INDEX(REP.indexationfactors,MATCH(P$9,REP.yearsrange,0))/$A$2,"")</f>
        <v>0.27537693030346927</v>
      </c>
      <c r="Q10" s="642">
        <f t="array" aca="1" ref="Q10:Q19" ca="1">IFERROR(INDEX(DATA!$T:$T,MATCH(Q$9&amp;".ECONOMIC IMPACT."&amp;$E10:$E19,REP.lookup,0))*INDEX(REP.indexationfactors,MATCH(Q$9,REP.yearsrange,0))/$A$2,"")</f>
        <v>0.57850675851245603</v>
      </c>
      <c r="R10" s="642">
        <f t="array" aca="1" ref="R10:R19" ca="1">IFERROR(INDEX(DATA!$T:$T,MATCH(R$9&amp;".ECONOMIC IMPACT."&amp;$E10:$E19,REP.lookup,0))*INDEX(REP.indexationfactors,MATCH(R$9,REP.yearsrange,0))/$A$2,"")</f>
        <v>0.65087152464364517</v>
      </c>
      <c r="S10" s="360">
        <f ca="1">INDEX($G10:$R10,0,MATCH($S$9,$G$9:$R$9,0))</f>
        <v>0.65087152464364517</v>
      </c>
      <c r="T10" s="216">
        <f t="shared" ref="T10:T19" ca="1" si="0">S10/$S$19</f>
        <v>0.15652972271745089</v>
      </c>
      <c r="U10" s="217" t="str">
        <f ca="1">E10&amp;" ("&amp;TEXT(T10,"0.0%")&amp;")"</f>
        <v>Accommodation (15.7%)</v>
      </c>
      <c r="V10" s="215"/>
      <c r="W10" s="215"/>
      <c r="X10" s="215"/>
      <c r="Y10" s="218"/>
    </row>
    <row r="11" spans="1:25" ht="16.2" customHeight="1" thickTop="1" thickBot="1" x14ac:dyDescent="0.35">
      <c r="E11" s="219" t="s">
        <v>49</v>
      </c>
      <c r="F11" s="194" t="str">
        <f ca="1">$F$10</f>
        <v>£Bn</v>
      </c>
      <c r="G11" s="642">
        <f ca="1"/>
        <v>0.38946104954628125</v>
      </c>
      <c r="H11" s="642">
        <f ca="1"/>
        <v>0.39240623990648049</v>
      </c>
      <c r="I11" s="642">
        <f ca="1"/>
        <v>0.4223520020630967</v>
      </c>
      <c r="J11" s="642">
        <f ca="1"/>
        <v>0.44060609307595239</v>
      </c>
      <c r="K11" s="642">
        <f ca="1"/>
        <v>0.45691803665653086</v>
      </c>
      <c r="L11" s="642">
        <f ca="1"/>
        <v>0.46995712184633631</v>
      </c>
      <c r="M11" s="642">
        <f ca="1"/>
        <v>0.49557231177698619</v>
      </c>
      <c r="N11" s="642">
        <f ca="1"/>
        <v>0.52290663135096327</v>
      </c>
      <c r="O11" s="642">
        <f ca="1"/>
        <v>0.55283959043454101</v>
      </c>
      <c r="P11" s="642">
        <f ca="1"/>
        <v>0.22321851220069011</v>
      </c>
      <c r="Q11" s="642">
        <f ca="1"/>
        <v>0.45417648029904945</v>
      </c>
      <c r="R11" s="642">
        <f ca="1"/>
        <v>0.6275694701389174</v>
      </c>
      <c r="S11" s="360">
        <f t="shared" ref="S11:S19" ca="1" si="1">INDEX($G11:$R11,0,MATCH($S$9,$G$9:$R$9,0))</f>
        <v>0.6275694701389174</v>
      </c>
      <c r="T11" s="216">
        <f t="shared" ca="1" si="0"/>
        <v>0.15092575328220947</v>
      </c>
      <c r="U11" s="217" t="str">
        <f t="shared" ref="U11:U19" ca="1" si="2">E11&amp;" ("&amp;TEXT(T11,"0.0%")&amp;")"</f>
        <v>Food &amp; Drink (15.1%)</v>
      </c>
      <c r="V11" s="215"/>
      <c r="W11" s="215"/>
      <c r="X11" s="215"/>
    </row>
    <row r="12" spans="1:25" ht="16.2" customHeight="1" thickTop="1" thickBot="1" x14ac:dyDescent="0.35">
      <c r="E12" s="220" t="s">
        <v>50</v>
      </c>
      <c r="F12" s="194" t="str">
        <f t="shared" ref="F12:F19" ca="1" si="3">$F$10</f>
        <v>£Bn</v>
      </c>
      <c r="G12" s="642">
        <f ca="1"/>
        <v>0.13871314344963084</v>
      </c>
      <c r="H12" s="642">
        <f ca="1"/>
        <v>0.13169293803791046</v>
      </c>
      <c r="I12" s="642">
        <f ca="1"/>
        <v>0.13744880646126273</v>
      </c>
      <c r="J12" s="642">
        <f ca="1"/>
        <v>0.1430385280471124</v>
      </c>
      <c r="K12" s="642">
        <f ca="1"/>
        <v>0.14946485834455642</v>
      </c>
      <c r="L12" s="642">
        <f ca="1"/>
        <v>0.15465389509745553</v>
      </c>
      <c r="M12" s="642">
        <f ca="1"/>
        <v>0.16447928235988621</v>
      </c>
      <c r="N12" s="642">
        <f ca="1"/>
        <v>0.17230265872614225</v>
      </c>
      <c r="O12" s="642">
        <f ca="1"/>
        <v>0.18238701758134426</v>
      </c>
      <c r="P12" s="642">
        <f ca="1"/>
        <v>7.357968340434401E-2</v>
      </c>
      <c r="Q12" s="642">
        <f ca="1"/>
        <v>0.16851040805139941</v>
      </c>
      <c r="R12" s="642">
        <f ca="1"/>
        <v>0.20663190796445691</v>
      </c>
      <c r="S12" s="360">
        <f t="shared" ca="1" si="1"/>
        <v>0.20663190796445691</v>
      </c>
      <c r="T12" s="216">
        <f t="shared" ca="1" si="0"/>
        <v>4.9693424944289528E-2</v>
      </c>
      <c r="U12" s="217" t="str">
        <f t="shared" ca="1" si="2"/>
        <v>Recreation (5.0%)</v>
      </c>
      <c r="V12" s="215"/>
      <c r="W12" s="215"/>
      <c r="X12" s="215"/>
    </row>
    <row r="13" spans="1:25" ht="16.2" customHeight="1" thickTop="1" thickBot="1" x14ac:dyDescent="0.35">
      <c r="E13" s="221" t="s">
        <v>51</v>
      </c>
      <c r="F13" s="194" t="str">
        <f t="shared" ca="1" si="3"/>
        <v>£Bn</v>
      </c>
      <c r="G13" s="642">
        <f ca="1"/>
        <v>0.52466290132043591</v>
      </c>
      <c r="H13" s="642">
        <f ca="1"/>
        <v>0.52355436127959609</v>
      </c>
      <c r="I13" s="642">
        <f ca="1"/>
        <v>0.56248621141262078</v>
      </c>
      <c r="J13" s="642">
        <f ca="1"/>
        <v>0.59166718348013358</v>
      </c>
      <c r="K13" s="642">
        <f ca="1"/>
        <v>0.61525787230073758</v>
      </c>
      <c r="L13" s="642">
        <f ca="1"/>
        <v>0.63012624058455657</v>
      </c>
      <c r="M13" s="642">
        <f ca="1"/>
        <v>0.66315734811039762</v>
      </c>
      <c r="N13" s="642">
        <f ca="1"/>
        <v>0.70043614208393945</v>
      </c>
      <c r="O13" s="642">
        <f ca="1"/>
        <v>0.73381494508593048</v>
      </c>
      <c r="P13" s="642">
        <f ca="1"/>
        <v>0.28581197649219187</v>
      </c>
      <c r="Q13" s="642">
        <f ca="1"/>
        <v>0.56010205894712173</v>
      </c>
      <c r="R13" s="642">
        <f ca="1"/>
        <v>0.82283276607913391</v>
      </c>
      <c r="S13" s="360">
        <f t="shared" ca="1" si="1"/>
        <v>0.82283276607913391</v>
      </c>
      <c r="T13" s="216">
        <f t="shared" ca="1" si="0"/>
        <v>0.19788511225424599</v>
      </c>
      <c r="U13" s="217" t="str">
        <f t="shared" ca="1" si="2"/>
        <v>Shopping (19.8%)</v>
      </c>
      <c r="V13" s="215"/>
      <c r="W13" s="215"/>
      <c r="X13" s="215"/>
    </row>
    <row r="14" spans="1:25" ht="16.2" customHeight="1" thickTop="1" thickBot="1" x14ac:dyDescent="0.35">
      <c r="E14" s="222" t="s">
        <v>52</v>
      </c>
      <c r="F14" s="194" t="str">
        <f t="shared" ca="1" si="3"/>
        <v>£Bn</v>
      </c>
      <c r="G14" s="642">
        <f ca="1"/>
        <v>0.18075814920499458</v>
      </c>
      <c r="H14" s="642">
        <f ca="1"/>
        <v>0.17751349111827067</v>
      </c>
      <c r="I14" s="642">
        <f ca="1"/>
        <v>0.1886969063229619</v>
      </c>
      <c r="J14" s="642">
        <f ca="1"/>
        <v>0.19719718682791676</v>
      </c>
      <c r="K14" s="642">
        <f ca="1"/>
        <v>0.20537021246684992</v>
      </c>
      <c r="L14" s="642">
        <f ca="1"/>
        <v>0.21109016700085043</v>
      </c>
      <c r="M14" s="642">
        <f ca="1"/>
        <v>0.22312190348772193</v>
      </c>
      <c r="N14" s="642">
        <f ca="1"/>
        <v>0.23413453357192252</v>
      </c>
      <c r="O14" s="642">
        <f ca="1"/>
        <v>0.24663823375823912</v>
      </c>
      <c r="P14" s="642">
        <f ca="1"/>
        <v>9.3604179890836664E-2</v>
      </c>
      <c r="Q14" s="642">
        <f ca="1"/>
        <v>0.19398564696978554</v>
      </c>
      <c r="R14" s="642">
        <f ca="1"/>
        <v>0.27730892257964984</v>
      </c>
      <c r="S14" s="360">
        <f t="shared" ca="1" si="1"/>
        <v>0.27730892257964984</v>
      </c>
      <c r="T14" s="216">
        <f t="shared" ca="1" si="0"/>
        <v>6.6690717161475468E-2</v>
      </c>
      <c r="U14" s="217" t="str">
        <f t="shared" ca="1" si="2"/>
        <v>Transport (6.7%)</v>
      </c>
      <c r="V14" s="215"/>
      <c r="W14" s="215"/>
      <c r="X14" s="215"/>
    </row>
    <row r="15" spans="1:25" ht="16.2" customHeight="1" thickTop="1" thickBot="1" x14ac:dyDescent="0.35">
      <c r="E15" s="223" t="s">
        <v>46</v>
      </c>
      <c r="F15" s="194" t="str">
        <f t="shared" ca="1" si="3"/>
        <v>£Bn</v>
      </c>
      <c r="G15" s="643">
        <f ca="1"/>
        <v>1.5256087840850492</v>
      </c>
      <c r="H15" s="643">
        <f ca="1"/>
        <v>1.5300839992004551</v>
      </c>
      <c r="I15" s="643">
        <f ca="1"/>
        <v>1.6465492456837532</v>
      </c>
      <c r="J15" s="643">
        <f ca="1"/>
        <v>1.7192376217485468</v>
      </c>
      <c r="K15" s="643">
        <f ca="1"/>
        <v>1.7916867190822481</v>
      </c>
      <c r="L15" s="643">
        <f ca="1"/>
        <v>1.8491794040498828</v>
      </c>
      <c r="M15" s="643">
        <f ca="1"/>
        <v>1.9528821693669989</v>
      </c>
      <c r="N15" s="643">
        <f ca="1"/>
        <v>2.1058024032474298</v>
      </c>
      <c r="O15" s="643">
        <f ca="1"/>
        <v>2.2825628611679547</v>
      </c>
      <c r="P15" s="643">
        <f ca="1"/>
        <v>0.95159128229153189</v>
      </c>
      <c r="Q15" s="643">
        <f ca="1"/>
        <v>1.9552813527798121</v>
      </c>
      <c r="R15" s="643">
        <f ca="1"/>
        <v>2.585214591405804</v>
      </c>
      <c r="S15" s="360">
        <f t="shared" ca="1" si="1"/>
        <v>2.585214591405804</v>
      </c>
      <c r="T15" s="216">
        <f t="shared" ca="1" si="0"/>
        <v>0.62172473035967157</v>
      </c>
      <c r="U15" s="217" t="str">
        <f t="shared" ca="1" si="2"/>
        <v>Direct Revenue (62.2%)</v>
      </c>
      <c r="V15" s="215"/>
      <c r="W15" s="215"/>
      <c r="X15" s="215"/>
    </row>
    <row r="16" spans="1:25" ht="16.2" customHeight="1" thickTop="1" thickBot="1" x14ac:dyDescent="0.35">
      <c r="E16" s="359" t="s">
        <v>47</v>
      </c>
      <c r="F16" s="194" t="str">
        <f t="shared" ca="1" si="3"/>
        <v>£Bn</v>
      </c>
      <c r="G16" s="642">
        <f ca="1"/>
        <v>0.30512175681700987</v>
      </c>
      <c r="H16" s="642">
        <f ca="1"/>
        <v>0.30601679984009117</v>
      </c>
      <c r="I16" s="642">
        <f ca="1"/>
        <v>0.32930984913675065</v>
      </c>
      <c r="J16" s="642">
        <f ca="1"/>
        <v>0.34384752434970933</v>
      </c>
      <c r="K16" s="642">
        <f ca="1"/>
        <v>0.35833734381644966</v>
      </c>
      <c r="L16" s="642">
        <f ca="1"/>
        <v>0.36983588080997659</v>
      </c>
      <c r="M16" s="642">
        <f ca="1"/>
        <v>0.39057643387339974</v>
      </c>
      <c r="N16" s="642">
        <f ca="1"/>
        <v>0.42116048064948591</v>
      </c>
      <c r="O16" s="642">
        <f ca="1"/>
        <v>0.4565125722335911</v>
      </c>
      <c r="P16" s="642">
        <f ca="1"/>
        <v>0.13849935746703307</v>
      </c>
      <c r="Q16" s="642">
        <f ca="1"/>
        <v>0.25106431443299965</v>
      </c>
      <c r="R16" s="642">
        <f ca="1"/>
        <v>0.50219083976919254</v>
      </c>
      <c r="S16" s="360">
        <f t="shared" ca="1" si="1"/>
        <v>0.50219083976919254</v>
      </c>
      <c r="T16" s="216">
        <f t="shared" ca="1" si="0"/>
        <v>0.12077313252158882</v>
      </c>
      <c r="U16" s="217" t="str">
        <f t="shared" ca="1" si="2"/>
        <v>VAT (12.1%)</v>
      </c>
      <c r="V16" s="215"/>
      <c r="W16" s="215"/>
      <c r="X16" s="215"/>
    </row>
    <row r="17" spans="4:24" ht="16.2" customHeight="1" thickTop="1" thickBot="1" x14ac:dyDescent="0.35">
      <c r="E17" s="224" t="s">
        <v>44</v>
      </c>
      <c r="F17" s="194" t="str">
        <f t="shared" ca="1" si="3"/>
        <v>£Bn</v>
      </c>
      <c r="G17" s="644">
        <f ca="1"/>
        <v>1.8307305409020593</v>
      </c>
      <c r="H17" s="644">
        <f ca="1"/>
        <v>1.8361007990405462</v>
      </c>
      <c r="I17" s="644">
        <f ca="1"/>
        <v>1.9758590948205037</v>
      </c>
      <c r="J17" s="644">
        <f ca="1"/>
        <v>2.0630851460982562</v>
      </c>
      <c r="K17" s="644">
        <f ca="1"/>
        <v>2.150024062898698</v>
      </c>
      <c r="L17" s="644">
        <f ca="1"/>
        <v>2.2190152848598599</v>
      </c>
      <c r="M17" s="644">
        <f ca="1"/>
        <v>2.3434586032403981</v>
      </c>
      <c r="N17" s="644">
        <f ca="1"/>
        <v>2.5269628838969163</v>
      </c>
      <c r="O17" s="644">
        <f ca="1"/>
        <v>2.7390754334015464</v>
      </c>
      <c r="P17" s="644">
        <f ca="1"/>
        <v>1.090090639758565</v>
      </c>
      <c r="Q17" s="644">
        <f ca="1"/>
        <v>2.2063456672128123</v>
      </c>
      <c r="R17" s="644">
        <f ca="1"/>
        <v>3.0874054311749961</v>
      </c>
      <c r="S17" s="360">
        <f t="shared" ca="1" si="1"/>
        <v>3.0874054311749961</v>
      </c>
      <c r="T17" s="216">
        <f t="shared" ca="1" si="0"/>
        <v>0.7424978628812603</v>
      </c>
      <c r="U17" s="217" t="str">
        <f t="shared" ca="1" si="2"/>
        <v>Direct Expenditure (74.2%)</v>
      </c>
      <c r="V17" s="215"/>
      <c r="W17" s="215"/>
      <c r="X17" s="215"/>
    </row>
    <row r="18" spans="4:24" ht="16.2" customHeight="1" thickTop="1" thickBot="1" x14ac:dyDescent="0.35">
      <c r="E18" s="225" t="s">
        <v>45</v>
      </c>
      <c r="F18" s="194" t="str">
        <f t="shared" ca="1" si="3"/>
        <v>£Bn</v>
      </c>
      <c r="G18" s="645">
        <f ca="1"/>
        <v>0.61079698974534435</v>
      </c>
      <c r="H18" s="645">
        <f ca="1"/>
        <v>0.61211187001001188</v>
      </c>
      <c r="I18" s="645">
        <f ca="1"/>
        <v>0.66264980591392952</v>
      </c>
      <c r="J18" s="645">
        <f ca="1"/>
        <v>0.69637869768818028</v>
      </c>
      <c r="K18" s="645">
        <f ca="1"/>
        <v>0.72175235043014296</v>
      </c>
      <c r="L18" s="645">
        <f ca="1"/>
        <v>0.74396933177750046</v>
      </c>
      <c r="M18" s="645">
        <f ca="1"/>
        <v>0.79336368833860305</v>
      </c>
      <c r="N18" s="645">
        <f ca="1"/>
        <v>0.86794168890138468</v>
      </c>
      <c r="O18" s="645">
        <f ca="1"/>
        <v>0.95132725565289833</v>
      </c>
      <c r="P18" s="645">
        <f ca="1"/>
        <v>0.38545995521484733</v>
      </c>
      <c r="Q18" s="645">
        <f ca="1"/>
        <v>0.77631919514270042</v>
      </c>
      <c r="R18" s="645">
        <f ca="1"/>
        <v>1.0707283299032258</v>
      </c>
      <c r="S18" s="360">
        <f t="shared" ca="1" si="1"/>
        <v>1.0707283299032258</v>
      </c>
      <c r="T18" s="216">
        <f t="shared" ca="1" si="0"/>
        <v>0.25750213711873987</v>
      </c>
      <c r="U18" s="217" t="str">
        <f t="shared" ca="1" si="2"/>
        <v>Indirect Expenditure (25.8%)</v>
      </c>
      <c r="V18" s="215"/>
      <c r="W18" s="215"/>
      <c r="X18" s="215"/>
    </row>
    <row r="19" spans="4:24" ht="16.2" customHeight="1" thickTop="1" thickBot="1" x14ac:dyDescent="0.35">
      <c r="E19" s="226" t="s">
        <v>38</v>
      </c>
      <c r="F19" s="194" t="str">
        <f t="shared" ca="1" si="3"/>
        <v>£Bn</v>
      </c>
      <c r="G19" s="646">
        <f ca="1"/>
        <v>2.4415275306474036</v>
      </c>
      <c r="H19" s="646">
        <f ca="1"/>
        <v>2.4482126690505579</v>
      </c>
      <c r="I19" s="646">
        <f ca="1"/>
        <v>2.6385089007344336</v>
      </c>
      <c r="J19" s="646">
        <f ca="1"/>
        <v>2.7594638437864365</v>
      </c>
      <c r="K19" s="646">
        <f ca="1"/>
        <v>2.871776413328841</v>
      </c>
      <c r="L19" s="646">
        <f ca="1"/>
        <v>2.9629846166373599</v>
      </c>
      <c r="M19" s="646">
        <f ca="1"/>
        <v>3.1368222915790014</v>
      </c>
      <c r="N19" s="646">
        <f ca="1"/>
        <v>3.3949045727983007</v>
      </c>
      <c r="O19" s="646">
        <f ca="1"/>
        <v>3.6904026890544444</v>
      </c>
      <c r="P19" s="646">
        <f ca="1"/>
        <v>1.475550594973412</v>
      </c>
      <c r="Q19" s="646">
        <f ca="1"/>
        <v>2.9826648623555125</v>
      </c>
      <c r="R19" s="646">
        <f ca="1"/>
        <v>4.1581337610782212</v>
      </c>
      <c r="S19" s="360">
        <f t="shared" ca="1" si="1"/>
        <v>4.1581337610782212</v>
      </c>
      <c r="T19" s="216">
        <f t="shared" ca="1" si="0"/>
        <v>1</v>
      </c>
      <c r="U19" s="217" t="str">
        <f t="shared" ca="1" si="2"/>
        <v>TOTAL (100.0%)</v>
      </c>
      <c r="V19" s="227"/>
      <c r="W19" s="227"/>
      <c r="X19" s="227"/>
    </row>
    <row r="20" spans="4:24" ht="16.2" customHeight="1" thickTop="1" thickBot="1" x14ac:dyDescent="0.35">
      <c r="E20" s="228"/>
      <c r="F20" s="229"/>
      <c r="G20" s="647"/>
      <c r="H20" s="647"/>
      <c r="I20" s="647"/>
      <c r="J20" s="647"/>
      <c r="K20" s="647"/>
      <c r="L20" s="647"/>
      <c r="M20" s="647"/>
      <c r="N20" s="647"/>
      <c r="O20" s="647"/>
      <c r="P20" s="647"/>
      <c r="Q20" s="647"/>
      <c r="R20" s="647"/>
      <c r="S20" s="360"/>
      <c r="T20" s="230"/>
      <c r="U20" s="227"/>
      <c r="V20" s="227"/>
      <c r="W20" s="227"/>
      <c r="X20" s="227"/>
    </row>
    <row r="21" spans="4:24" ht="16.2" customHeight="1" thickTop="1" thickBot="1" x14ac:dyDescent="0.35">
      <c r="D21" s="196"/>
      <c r="E21" s="228"/>
      <c r="F21" s="229"/>
      <c r="G21" s="648"/>
      <c r="H21" s="648"/>
      <c r="I21" s="648"/>
      <c r="J21" s="648"/>
      <c r="K21" s="648"/>
      <c r="L21" s="648"/>
      <c r="M21" s="648"/>
      <c r="N21" s="648"/>
      <c r="O21" s="648"/>
      <c r="P21" s="648"/>
      <c r="Q21" s="648"/>
      <c r="R21" s="648"/>
      <c r="S21" s="360"/>
      <c r="T21" s="231"/>
      <c r="U21" s="231"/>
      <c r="V21" s="231"/>
      <c r="W21" s="231"/>
      <c r="X21" s="231"/>
    </row>
    <row r="22" spans="4:24" ht="16.2" customHeight="1" thickTop="1" thickBot="1" x14ac:dyDescent="0.35">
      <c r="D22" s="196"/>
      <c r="E22" s="228"/>
      <c r="F22" s="229"/>
      <c r="G22" s="648"/>
      <c r="H22" s="648"/>
      <c r="I22" s="648"/>
      <c r="J22" s="648"/>
      <c r="K22" s="648"/>
      <c r="L22" s="648"/>
      <c r="M22" s="648"/>
      <c r="N22" s="648"/>
      <c r="O22" s="648"/>
      <c r="P22" s="648"/>
      <c r="Q22" s="648"/>
      <c r="R22" s="648"/>
      <c r="S22" s="676"/>
      <c r="T22" s="677"/>
      <c r="U22" s="677"/>
      <c r="V22" s="677"/>
      <c r="W22" s="677"/>
      <c r="X22" s="678"/>
    </row>
    <row r="23" spans="4:24" ht="16.2" customHeight="1" thickTop="1" thickBot="1" x14ac:dyDescent="0.35">
      <c r="E23" s="1144" t="str">
        <f>UPPER('COMPARATIVE HEADLINES'!P25)</f>
        <v>SECTORAL DISTRIBUTION OF EMPLOYMENT - FTES</v>
      </c>
      <c r="F23" s="1145"/>
      <c r="G23" s="1145"/>
      <c r="H23" s="1145"/>
      <c r="I23" s="1145"/>
      <c r="J23" s="1145"/>
      <c r="K23" s="1145"/>
      <c r="L23" s="1145"/>
      <c r="M23" s="1145"/>
      <c r="N23" s="1145"/>
      <c r="O23" s="1145"/>
      <c r="P23" s="1145"/>
      <c r="Q23" s="1145"/>
      <c r="R23" s="1146"/>
      <c r="S23" s="1141"/>
      <c r="T23" s="1142"/>
      <c r="U23" s="1142"/>
      <c r="V23" s="1142"/>
      <c r="W23" s="1142"/>
      <c r="X23" s="1143"/>
    </row>
    <row r="24" spans="4:24" ht="16.2" customHeight="1" thickTop="1" thickBot="1" x14ac:dyDescent="0.35">
      <c r="E24" s="1136" t="s">
        <v>142</v>
      </c>
      <c r="F24" s="1137"/>
      <c r="G24" s="210">
        <f t="array" ref="G24:R24">TRANSPOSE(REP.yearsrange)</f>
        <v>2011</v>
      </c>
      <c r="H24" s="210">
        <v>2012</v>
      </c>
      <c r="I24" s="210">
        <v>2013</v>
      </c>
      <c r="J24" s="210">
        <v>2014</v>
      </c>
      <c r="K24" s="210">
        <v>2015</v>
      </c>
      <c r="L24" s="210">
        <v>2016</v>
      </c>
      <c r="M24" s="210">
        <v>2017</v>
      </c>
      <c r="N24" s="210">
        <v>2018</v>
      </c>
      <c r="O24" s="210">
        <v>2019</v>
      </c>
      <c r="P24" s="210">
        <v>2020</v>
      </c>
      <c r="Q24" s="210">
        <v>2021</v>
      </c>
      <c r="R24" s="210">
        <v>2022</v>
      </c>
      <c r="S24" s="232">
        <f>CHARTYEAR</f>
        <v>2022</v>
      </c>
      <c r="T24" s="231"/>
      <c r="U24" s="231"/>
      <c r="V24" s="231"/>
      <c r="W24" s="231"/>
      <c r="X24" s="231"/>
    </row>
    <row r="25" spans="4:24" ht="16.2" customHeight="1" thickTop="1" thickBot="1" x14ac:dyDescent="0.35">
      <c r="E25" s="214" t="s">
        <v>23</v>
      </c>
      <c r="F25" s="194" t="s">
        <v>59</v>
      </c>
      <c r="G25" s="649">
        <f t="array" ref="G25:G32">IFERROR(INDEX(DATA!$T:$T,MATCH(G$9&amp;".Employment."&amp;$E25:$E32,REP.lookup,0)),"")</f>
        <v>9545.667261463308</v>
      </c>
      <c r="H25" s="649">
        <f t="array" ref="H25:H32">IFERROR(INDEX(DATA!$T:$T,MATCH(H$9&amp;".Employment."&amp;$E25:$E32,REP.lookup,0)),"")</f>
        <v>9568.7078671647141</v>
      </c>
      <c r="I25" s="649">
        <f t="array" ref="I25:I32">IFERROR(INDEX(DATA!$T:$T,MATCH(I$9&amp;".Employment."&amp;$E25:$E32,REP.lookup,0)),"")</f>
        <v>10435.788842670498</v>
      </c>
      <c r="J25" s="649">
        <f t="array" ref="J25:J32">IFERROR(INDEX(DATA!$T:$T,MATCH(J$9&amp;".Employment."&amp;$E25:$E32,REP.lookup,0)),"")</f>
        <v>10570.386321444486</v>
      </c>
      <c r="K25" s="649">
        <f t="array" ref="K25:K32">IFERROR(INDEX(DATA!$T:$T,MATCH(K$9&amp;".Employment."&amp;$E25:$E32,REP.lookup,0)),"")</f>
        <v>10657.178211226254</v>
      </c>
      <c r="L25" s="649">
        <f t="array" ref="L25:L32">IFERROR(INDEX(DATA!$T:$T,MATCH(L$9&amp;".Employment."&amp;$E25:$E32,REP.lookup,0)),"")</f>
        <v>10553.916753031926</v>
      </c>
      <c r="M25" s="649">
        <f t="array" ref="M25:M32">IFERROR(INDEX(DATA!$T:$T,MATCH(M$9&amp;".Employment."&amp;$E25:$E32,REP.lookup,0)),"")</f>
        <v>10458.371028596404</v>
      </c>
      <c r="N25" s="649">
        <f t="array" ref="N25:N32">IFERROR(INDEX(DATA!$T:$T,MATCH(N$9&amp;".Employment."&amp;$E25:$E32,REP.lookup,0)),"")</f>
        <v>11815.289225525752</v>
      </c>
      <c r="O25" s="649">
        <f t="array" ref="O25:O32">IFERROR(INDEX(DATA!$T:$T,MATCH(O$9&amp;".Employment."&amp;$E25:$E32,REP.lookup,0)),"")</f>
        <v>11731.735023976828</v>
      </c>
      <c r="P25" s="649">
        <f t="array" ref="P25:P32">IFERROR(INDEX(DATA!$T:$T,MATCH(P$9&amp;".Employment."&amp;$E25:$E32,REP.lookup,0)),"")</f>
        <v>6158.2232159381665</v>
      </c>
      <c r="Q25" s="649">
        <f t="array" ref="Q25:Q32">IFERROR(INDEX(DATA!$T:$T,MATCH(Q$9&amp;".Employment."&amp;$E25:$E32,REP.lookup,0)),"")</f>
        <v>9049.9083066805106</v>
      </c>
      <c r="R25" s="649">
        <f t="array" ref="R25:R32">IFERROR(INDEX(DATA!$T:$T,MATCH(R$9&amp;".Employment."&amp;$E25:$E32,REP.lookup,0)),"")</f>
        <v>11903.129862135786</v>
      </c>
      <c r="S25" s="233">
        <f>INDEX($G25:$R25,0,MATCH($S$9,$G$9:$R$9,0))</f>
        <v>11903.129862135786</v>
      </c>
      <c r="T25" s="234">
        <f t="shared" ref="T25:T32" si="4">S25/$S$32</f>
        <v>0.2633390522008352</v>
      </c>
      <c r="U25" s="217" t="str">
        <f>E25&amp;" ("&amp;TEXT(T25,"0.0%")&amp;")"</f>
        <v>Accommodation (26.3%)</v>
      </c>
      <c r="V25" s="231"/>
      <c r="W25" s="231"/>
      <c r="X25" s="231"/>
    </row>
    <row r="26" spans="4:24" ht="16.2" customHeight="1" thickTop="1" thickBot="1" x14ac:dyDescent="0.35">
      <c r="E26" s="219" t="s">
        <v>49</v>
      </c>
      <c r="F26" s="194" t="s">
        <v>59</v>
      </c>
      <c r="G26" s="649">
        <v>8325.9219063355595</v>
      </c>
      <c r="H26" s="649">
        <v>8071.3778171310041</v>
      </c>
      <c r="I26" s="649">
        <v>8411.4186924695678</v>
      </c>
      <c r="J26" s="649">
        <v>9273.773687988456</v>
      </c>
      <c r="K26" s="649">
        <v>9939.9155207216099</v>
      </c>
      <c r="L26" s="649">
        <v>10096.482627601696</v>
      </c>
      <c r="M26" s="649">
        <v>9769.6828090623403</v>
      </c>
      <c r="N26" s="649">
        <v>10028.909872002816</v>
      </c>
      <c r="O26" s="649">
        <v>10116.50834239412</v>
      </c>
      <c r="P26" s="649">
        <v>5172.1145837646482</v>
      </c>
      <c r="Q26" s="649">
        <v>8138.7057730257447</v>
      </c>
      <c r="R26" s="649">
        <v>9860.0029873510157</v>
      </c>
      <c r="S26" s="233">
        <f t="shared" ref="S26:S35" si="5">INDEX($G26:$R26,0,MATCH($S$9,$G$9:$R$9,0))</f>
        <v>9860.0029873510157</v>
      </c>
      <c r="T26" s="234">
        <f t="shared" si="4"/>
        <v>0.21813790754699239</v>
      </c>
      <c r="U26" s="217" t="str">
        <f t="shared" ref="U26:U32" si="6">E26&amp;" ("&amp;TEXT(T26,"0.0%")&amp;")"</f>
        <v>Food &amp; Drink (21.8%)</v>
      </c>
      <c r="V26" s="231"/>
      <c r="W26" s="231"/>
      <c r="X26" s="231"/>
    </row>
    <row r="27" spans="4:24" ht="16.2" customHeight="1" thickTop="1" thickBot="1" x14ac:dyDescent="0.35">
      <c r="E27" s="220" t="s">
        <v>50</v>
      </c>
      <c r="F27" s="194" t="s">
        <v>59</v>
      </c>
      <c r="G27" s="649">
        <v>3598.5696866587136</v>
      </c>
      <c r="H27" s="649">
        <v>3287.1404405183866</v>
      </c>
      <c r="I27" s="649">
        <v>3321.8473210709162</v>
      </c>
      <c r="J27" s="649">
        <v>2662.9871424718804</v>
      </c>
      <c r="K27" s="649">
        <v>2663.0386519052508</v>
      </c>
      <c r="L27" s="649">
        <v>2898.738088781271</v>
      </c>
      <c r="M27" s="649">
        <v>3089.2793850732814</v>
      </c>
      <c r="N27" s="649">
        <v>2846.9805436635761</v>
      </c>
      <c r="O27" s="649">
        <v>3224.7415562417405</v>
      </c>
      <c r="P27" s="649">
        <v>1757.3442848666771</v>
      </c>
      <c r="Q27" s="649">
        <v>2645.2277065993799</v>
      </c>
      <c r="R27" s="649">
        <v>3001.110064732316</v>
      </c>
      <c r="S27" s="233">
        <f t="shared" si="5"/>
        <v>3001.110064732316</v>
      </c>
      <c r="T27" s="234">
        <f t="shared" si="4"/>
        <v>6.63950985287486E-2</v>
      </c>
      <c r="U27" s="217" t="str">
        <f t="shared" si="6"/>
        <v>Recreation (6.6%)</v>
      </c>
      <c r="V27" s="231"/>
      <c r="W27" s="231"/>
      <c r="X27" s="231"/>
    </row>
    <row r="28" spans="4:24" ht="16.2" customHeight="1" thickTop="1" thickBot="1" x14ac:dyDescent="0.35">
      <c r="E28" s="221" t="s">
        <v>51</v>
      </c>
      <c r="F28" s="194" t="s">
        <v>59</v>
      </c>
      <c r="G28" s="649">
        <v>10225.196723161529</v>
      </c>
      <c r="H28" s="649">
        <v>9817.4018092595325</v>
      </c>
      <c r="I28" s="649">
        <v>10212.441629928586</v>
      </c>
      <c r="J28" s="649">
        <v>8742.2514190528327</v>
      </c>
      <c r="K28" s="649">
        <v>9477.0297959355121</v>
      </c>
      <c r="L28" s="649">
        <v>9438.7247000668194</v>
      </c>
      <c r="M28" s="649">
        <v>9697.2336556359551</v>
      </c>
      <c r="N28" s="649">
        <v>9550.9712755307519</v>
      </c>
      <c r="O28" s="649">
        <v>10324.718954519407</v>
      </c>
      <c r="P28" s="649">
        <v>4074.7262804815959</v>
      </c>
      <c r="Q28" s="649">
        <v>6935.1971781258389</v>
      </c>
      <c r="R28" s="649">
        <v>9720.1994201086927</v>
      </c>
      <c r="S28" s="233">
        <f t="shared" si="5"/>
        <v>9720.1994201086927</v>
      </c>
      <c r="T28" s="234">
        <f t="shared" si="4"/>
        <v>0.2150449614632064</v>
      </c>
      <c r="U28" s="217" t="str">
        <f t="shared" si="6"/>
        <v>Shopping (21.5%)</v>
      </c>
      <c r="V28" s="231"/>
      <c r="W28" s="231"/>
      <c r="X28" s="231"/>
    </row>
    <row r="29" spans="4:24" ht="16.2" customHeight="1" thickTop="1" thickBot="1" x14ac:dyDescent="0.35">
      <c r="D29" s="196"/>
      <c r="E29" s="222" t="s">
        <v>52</v>
      </c>
      <c r="F29" s="194" t="s">
        <v>59</v>
      </c>
      <c r="G29" s="649">
        <v>1726.3725014417457</v>
      </c>
      <c r="H29" s="649">
        <v>1631.2159451040225</v>
      </c>
      <c r="I29" s="649">
        <v>1678.9114643186078</v>
      </c>
      <c r="J29" s="649">
        <v>1402.5332611654221</v>
      </c>
      <c r="K29" s="649">
        <v>1516.8104299747813</v>
      </c>
      <c r="L29" s="649">
        <v>1547.2131881411553</v>
      </c>
      <c r="M29" s="649">
        <v>1594.9205086628663</v>
      </c>
      <c r="N29" s="649">
        <v>1556.778015038735</v>
      </c>
      <c r="O29" s="649">
        <v>1705.6498276208656</v>
      </c>
      <c r="P29" s="649">
        <v>652.62563415173918</v>
      </c>
      <c r="Q29" s="649">
        <v>1180.4507898140316</v>
      </c>
      <c r="R29" s="649">
        <v>1580.7886520702589</v>
      </c>
      <c r="S29" s="233">
        <f t="shared" si="5"/>
        <v>1580.7886520702589</v>
      </c>
      <c r="T29" s="234">
        <f t="shared" si="4"/>
        <v>3.4972598819595156E-2</v>
      </c>
      <c r="U29" s="217" t="str">
        <f t="shared" si="6"/>
        <v>Transport (3.5%)</v>
      </c>
      <c r="V29" s="231"/>
      <c r="W29" s="231"/>
      <c r="X29" s="231"/>
    </row>
    <row r="30" spans="4:24" ht="16.2" customHeight="1" thickTop="1" thickBot="1" x14ac:dyDescent="0.35">
      <c r="D30" s="196"/>
      <c r="E30" s="224" t="s">
        <v>55</v>
      </c>
      <c r="F30" s="194" t="s">
        <v>59</v>
      </c>
      <c r="G30" s="650">
        <v>33421.728079060849</v>
      </c>
      <c r="H30" s="650">
        <v>32375.843879177657</v>
      </c>
      <c r="I30" s="650">
        <v>34060.407950458175</v>
      </c>
      <c r="J30" s="650">
        <v>32651.931832123078</v>
      </c>
      <c r="K30" s="650">
        <v>34253.972609763412</v>
      </c>
      <c r="L30" s="650">
        <v>34535.075357622867</v>
      </c>
      <c r="M30" s="650">
        <v>34609.487387030851</v>
      </c>
      <c r="N30" s="650">
        <v>35798.928931761628</v>
      </c>
      <c r="O30" s="650">
        <v>37103.353704752961</v>
      </c>
      <c r="P30" s="650">
        <v>17815.033999202828</v>
      </c>
      <c r="Q30" s="650">
        <v>27949.489754245511</v>
      </c>
      <c r="R30" s="650">
        <v>36065.23098639807</v>
      </c>
      <c r="S30" s="233">
        <f t="shared" si="5"/>
        <v>36065.23098639807</v>
      </c>
      <c r="T30" s="234">
        <f t="shared" si="4"/>
        <v>0.79788961855937779</v>
      </c>
      <c r="U30" s="217" t="str">
        <f t="shared" si="6"/>
        <v>Direct Employment (79.8%)</v>
      </c>
      <c r="V30" s="231"/>
      <c r="W30" s="231"/>
      <c r="X30" s="231"/>
    </row>
    <row r="31" spans="4:24" ht="16.2" customHeight="1" thickTop="1" thickBot="1" x14ac:dyDescent="0.35">
      <c r="D31" s="196"/>
      <c r="E31" s="225" t="s">
        <v>53</v>
      </c>
      <c r="F31" s="194" t="s">
        <v>59</v>
      </c>
      <c r="G31" s="651">
        <v>8436.2424414631514</v>
      </c>
      <c r="H31" s="651">
        <v>8134.4170408516848</v>
      </c>
      <c r="I31" s="651">
        <v>8526.3396707016618</v>
      </c>
      <c r="J31" s="651">
        <v>7499.9354961174186</v>
      </c>
      <c r="K31" s="651">
        <v>7955.5414622560629</v>
      </c>
      <c r="L31" s="651">
        <v>8181.2972619436305</v>
      </c>
      <c r="M31" s="651">
        <v>8469.3475644203736</v>
      </c>
      <c r="N31" s="651">
        <v>8600.4315852871896</v>
      </c>
      <c r="O31" s="651">
        <v>9701.0777681744639</v>
      </c>
      <c r="P31" s="651">
        <v>4472.6446069374188</v>
      </c>
      <c r="Q31" s="651">
        <v>7548.0316960721657</v>
      </c>
      <c r="R31" s="651">
        <v>9135.5463485863238</v>
      </c>
      <c r="S31" s="233">
        <f t="shared" si="5"/>
        <v>9135.5463485863238</v>
      </c>
      <c r="T31" s="234">
        <f t="shared" si="4"/>
        <v>0.20211038144062213</v>
      </c>
      <c r="U31" s="217" t="str">
        <f t="shared" si="6"/>
        <v>Indirect Employment (20.2%)</v>
      </c>
      <c r="V31" s="231"/>
      <c r="W31" s="231"/>
      <c r="X31" s="231"/>
    </row>
    <row r="32" spans="4:24" ht="16.2" customHeight="1" thickTop="1" thickBot="1" x14ac:dyDescent="0.35">
      <c r="D32" s="196"/>
      <c r="E32" s="226" t="s">
        <v>38</v>
      </c>
      <c r="F32" s="194" t="s">
        <v>59</v>
      </c>
      <c r="G32" s="652">
        <v>41857.97052052401</v>
      </c>
      <c r="H32" s="652">
        <v>40510.260920029345</v>
      </c>
      <c r="I32" s="652">
        <v>42586.747621159833</v>
      </c>
      <c r="J32" s="652">
        <v>40151.8673282405</v>
      </c>
      <c r="K32" s="652">
        <v>42209.514072019476</v>
      </c>
      <c r="L32" s="652">
        <v>42716.372619566493</v>
      </c>
      <c r="M32" s="652">
        <v>43078.834951451223</v>
      </c>
      <c r="N32" s="652">
        <v>44399.360517048823</v>
      </c>
      <c r="O32" s="652">
        <v>46804.431472927427</v>
      </c>
      <c r="P32" s="652">
        <v>22287.678606140249</v>
      </c>
      <c r="Q32" s="652">
        <v>35497.521450317676</v>
      </c>
      <c r="R32" s="652">
        <v>45200.777334984399</v>
      </c>
      <c r="S32" s="233">
        <f t="shared" si="5"/>
        <v>45200.777334984399</v>
      </c>
      <c r="T32" s="234">
        <f t="shared" si="4"/>
        <v>1</v>
      </c>
      <c r="U32" s="217" t="str">
        <f t="shared" si="6"/>
        <v>TOTAL (100.0%)</v>
      </c>
      <c r="V32" s="231"/>
      <c r="W32" s="231"/>
      <c r="X32" s="231"/>
    </row>
    <row r="33" spans="4:24" ht="16.2" customHeight="1" thickTop="1" thickBot="1" x14ac:dyDescent="0.35">
      <c r="D33" s="196"/>
      <c r="E33" s="235"/>
      <c r="F33" s="172"/>
      <c r="G33" s="653"/>
      <c r="H33" s="653"/>
      <c r="I33" s="653"/>
      <c r="J33" s="653"/>
      <c r="K33" s="653"/>
      <c r="L33" s="653"/>
      <c r="M33" s="653"/>
      <c r="N33" s="653"/>
      <c r="O33" s="653"/>
      <c r="P33" s="653"/>
      <c r="Q33" s="653"/>
      <c r="R33" s="653"/>
      <c r="S33" s="233">
        <f t="shared" si="5"/>
        <v>0</v>
      </c>
      <c r="T33" s="231"/>
      <c r="U33" s="231"/>
      <c r="V33" s="231"/>
      <c r="W33" s="231"/>
      <c r="X33" s="231"/>
    </row>
    <row r="34" spans="4:24" ht="16.2" customHeight="1" thickTop="1" thickBot="1" x14ac:dyDescent="0.35">
      <c r="D34" s="196"/>
      <c r="E34" s="235"/>
      <c r="F34" s="172"/>
      <c r="G34" s="653"/>
      <c r="H34" s="653"/>
      <c r="I34" s="653"/>
      <c r="J34" s="653"/>
      <c r="K34" s="653"/>
      <c r="L34" s="653"/>
      <c r="M34" s="653"/>
      <c r="N34" s="653"/>
      <c r="O34" s="653"/>
      <c r="P34" s="653"/>
      <c r="Q34" s="653"/>
      <c r="R34" s="653"/>
      <c r="S34" s="233"/>
      <c r="T34" s="231"/>
      <c r="U34" s="231"/>
      <c r="V34" s="231"/>
      <c r="W34" s="231"/>
      <c r="X34" s="231"/>
    </row>
    <row r="35" spans="4:24" ht="16.2" customHeight="1" thickTop="1" thickBot="1" x14ac:dyDescent="0.35">
      <c r="E35" s="235"/>
      <c r="F35" s="172"/>
      <c r="G35" s="653"/>
      <c r="H35" s="653"/>
      <c r="I35" s="653"/>
      <c r="J35" s="653"/>
      <c r="K35" s="653"/>
      <c r="L35" s="653"/>
      <c r="M35" s="653"/>
      <c r="N35" s="653"/>
      <c r="O35" s="653"/>
      <c r="P35" s="653"/>
      <c r="Q35" s="653"/>
      <c r="R35" s="653"/>
      <c r="S35" s="233">
        <f t="shared" si="5"/>
        <v>0</v>
      </c>
      <c r="T35" s="231"/>
      <c r="U35" s="231"/>
      <c r="V35" s="231"/>
      <c r="W35" s="231"/>
      <c r="X35" s="231"/>
    </row>
    <row r="36" spans="4:24" ht="16.2" customHeight="1" thickTop="1" thickBot="1" x14ac:dyDescent="0.35">
      <c r="E36" s="235"/>
      <c r="F36" s="172"/>
      <c r="G36" s="654"/>
      <c r="H36" s="654"/>
      <c r="I36" s="654"/>
      <c r="J36" s="654"/>
      <c r="K36" s="654"/>
      <c r="L36" s="654"/>
      <c r="M36" s="654"/>
      <c r="N36" s="654"/>
      <c r="O36" s="654"/>
      <c r="P36" s="654"/>
      <c r="Q36" s="654"/>
      <c r="R36" s="654"/>
      <c r="S36" s="236"/>
      <c r="T36" s="237"/>
      <c r="U36" s="237"/>
      <c r="V36" s="237"/>
      <c r="W36" s="237"/>
      <c r="X36" s="238"/>
    </row>
    <row r="37" spans="4:24" ht="16.2" customHeight="1" thickTop="1" thickBot="1" x14ac:dyDescent="0.35">
      <c r="E37" s="203" t="str">
        <f>IF(COUNT(REP.yearsrange)&lt;MAX(REP.yearnos),"Note: This report caters for a period of up to 12 years. Parts of this page are intentionally left blank to accommodate new data as it becomes available.","")</f>
        <v/>
      </c>
      <c r="F37" s="239"/>
      <c r="G37" s="239"/>
      <c r="H37" s="239"/>
      <c r="I37" s="239"/>
      <c r="J37" s="239"/>
      <c r="K37" s="239"/>
      <c r="L37" s="239"/>
      <c r="M37" s="239"/>
      <c r="N37" s="239"/>
      <c r="O37" s="239"/>
      <c r="P37" s="239"/>
      <c r="Q37" s="239"/>
      <c r="R37" s="239"/>
      <c r="S37" s="237"/>
      <c r="T37" s="237"/>
      <c r="U37" s="237"/>
      <c r="V37" s="237"/>
      <c r="W37" s="237"/>
      <c r="X37" s="238"/>
    </row>
    <row r="38" spans="4:24" s="174" customFormat="1" ht="16.2" customHeight="1" thickTop="1" thickBot="1" x14ac:dyDescent="0.2">
      <c r="D38" s="170"/>
      <c r="E38" s="171" t="str">
        <f>REP.footer1</f>
        <v>This report is copyright © Global Tourism Solutions (UK) Ltd 2023</v>
      </c>
      <c r="F38" s="172"/>
      <c r="G38" s="172"/>
      <c r="H38" s="172" t="str">
        <f>IFERROR(INDEX(DATA!$T:$T,MATCH(G$9&amp;".Employment."&amp;$E25:$E32,REP.lookup,0)),"")</f>
        <v/>
      </c>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x0KHi+3akrvSE958vqpQTYpScctk08+2Lbrt3HjIxfRgX4XoYQmG6fhF80HxHc1wYVRx+4B9c/MD3EhEvs04pg==" saltValue="oidvLCJOev/p2wdzcQxx7Q==" spinCount="100000" sheet="1" objects="1" scenarios="1"/>
  <mergeCells count="12">
    <mergeCell ref="E24:F24"/>
    <mergeCell ref="S8:X8"/>
    <mergeCell ref="S23:X23"/>
    <mergeCell ref="M7:O7"/>
    <mergeCell ref="E23:R23"/>
    <mergeCell ref="E8:R8"/>
    <mergeCell ref="S6:T7"/>
    <mergeCell ref="U6:X7"/>
    <mergeCell ref="N6:O6"/>
    <mergeCell ref="E9:F9"/>
    <mergeCell ref="P6:R6"/>
    <mergeCell ref="P7:R7"/>
  </mergeCells>
  <conditionalFormatting sqref="E9">
    <cfRule type="expression" dxfId="9" priority="9">
      <formula>$E9=0</formula>
    </cfRule>
  </conditionalFormatting>
  <conditionalFormatting sqref="E13:E19">
    <cfRule type="expression" dxfId="8" priority="8">
      <formula>$E13=0</formula>
    </cfRule>
  </conditionalFormatting>
  <conditionalFormatting sqref="E24">
    <cfRule type="expression" dxfId="7" priority="12">
      <formula>$E24=0</formula>
    </cfRule>
  </conditionalFormatting>
  <conditionalFormatting sqref="F10:F19">
    <cfRule type="expression" dxfId="6" priority="14">
      <formula>$E10=0</formula>
    </cfRule>
  </conditionalFormatting>
  <conditionalFormatting sqref="F25:F32 E28:E32">
    <cfRule type="expression" dxfId="5" priority="43">
      <formula>$E25=0</formula>
    </cfRule>
  </conditionalFormatting>
  <conditionalFormatting sqref="G9:R19">
    <cfRule type="expression" dxfId="4" priority="1">
      <formula>G$9=0</formula>
    </cfRule>
  </conditionalFormatting>
  <conditionalFormatting sqref="G10:R19">
    <cfRule type="expression" dxfId="3" priority="25">
      <formula>AND($A$2&gt;1,G10&lt;10)</formula>
    </cfRule>
  </conditionalFormatting>
  <conditionalFormatting sqref="G24:R32">
    <cfRule type="expression" dxfId="2" priority="15">
      <formula>G$9=0</formula>
    </cfRule>
  </conditionalFormatting>
  <conditionalFormatting sqref="S10:S22">
    <cfRule type="expression" dxfId="1" priority="10">
      <formula>MAX($G$10:$S$18)&gt;=5000000</formula>
    </cfRule>
    <cfRule type="expression" dxfId="0" priority="11">
      <formula>S$9=0</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Drop Down 1">
              <controlPr defaultSize="0" autoLine="0" autoPict="0">
                <anchor moveWithCells="1">
                  <from>
                    <xdr:col>21</xdr:col>
                    <xdr:colOff>175260</xdr:colOff>
                    <xdr:row>4</xdr:row>
                    <xdr:rowOff>22860</xdr:rowOff>
                  </from>
                  <to>
                    <xdr:col>22</xdr:col>
                    <xdr:colOff>259080</xdr:colOff>
                    <xdr:row>4</xdr:row>
                    <xdr:rowOff>297180</xdr:rowOff>
                  </to>
                </anchor>
              </controlPr>
            </control>
          </mc:Choice>
        </mc:AlternateContent>
        <mc:AlternateContent xmlns:mc="http://schemas.openxmlformats.org/markup-compatibility/2006">
          <mc:Choice Requires="x14">
            <control shapeId="126979" r:id="rId5" name="Drop Down 3">
              <controlPr defaultSize="0" autoLine="0" autoPict="0">
                <anchor moveWithCells="1">
                  <from>
                    <xdr:col>16</xdr:col>
                    <xdr:colOff>68580</xdr:colOff>
                    <xdr:row>4</xdr:row>
                    <xdr:rowOff>22860</xdr:rowOff>
                  </from>
                  <to>
                    <xdr:col>17</xdr:col>
                    <xdr:colOff>289560</xdr:colOff>
                    <xdr:row>4</xdr:row>
                    <xdr:rowOff>297180</xdr:rowOff>
                  </to>
                </anchor>
              </controlPr>
            </control>
          </mc:Choice>
        </mc:AlternateContent>
        <mc:AlternateContent xmlns:mc="http://schemas.openxmlformats.org/markup-compatibility/2006">
          <mc:Choice Requires="x14">
            <control shapeId="126980" r:id="rId6" name="Drop Down 4">
              <controlPr defaultSize="0" autoLine="0" autoPict="0">
                <anchor moveWithCells="1">
                  <from>
                    <xdr:col>6</xdr:col>
                    <xdr:colOff>7620</xdr:colOff>
                    <xdr:row>4</xdr:row>
                    <xdr:rowOff>22860</xdr:rowOff>
                  </from>
                  <to>
                    <xdr:col>7</xdr:col>
                    <xdr:colOff>220980</xdr:colOff>
                    <xdr:row>4</xdr:row>
                    <xdr:rowOff>297180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Client01">
    <tabColor theme="4" tint="0.39997558519241921"/>
    <outlinePr showOutlineSymbols="0"/>
    <pageSetUpPr autoPageBreaks="0" fitToPage="1"/>
  </sheetPr>
  <dimension ref="A1:AC67"/>
  <sheetViews>
    <sheetView showGridLines="0" showRowColHeaders="0" showZeros="0" showOutlineSymbols="0" topLeftCell="A2" zoomScaleNormal="100" workbookViewId="0">
      <pane ySplit="11" topLeftCell="A13" activePane="bottomLeft" state="frozen"/>
      <selection activeCell="M48" sqref="M48"/>
      <selection pane="bottomLeft" activeCell="E35" sqref="E35:X35"/>
    </sheetView>
  </sheetViews>
  <sheetFormatPr defaultColWidth="4.88671875" defaultRowHeight="16.2" customHeight="1" x14ac:dyDescent="0.3"/>
  <cols>
    <col min="1" max="1" width="7.88671875" style="111" bestFit="1" customWidth="1"/>
    <col min="2"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9" ht="16.2" hidden="1" customHeight="1" x14ac:dyDescent="0.3">
      <c r="A1" s="110" t="str">
        <f ca="1">MID(CELL("filename",A1),FIND("]",CELL("filename",A1))+1,255)</f>
        <v>COVER</v>
      </c>
      <c r="E1" s="113"/>
      <c r="F1" s="114"/>
      <c r="G1" s="114"/>
      <c r="H1" s="114"/>
      <c r="I1" s="114"/>
      <c r="J1" s="114"/>
      <c r="K1" s="114"/>
      <c r="L1" s="114"/>
      <c r="M1" s="114"/>
      <c r="N1" s="114"/>
      <c r="O1" s="114"/>
      <c r="P1" s="114"/>
      <c r="Q1" s="114"/>
      <c r="R1" s="114"/>
      <c r="S1" s="114"/>
      <c r="T1" s="114"/>
      <c r="U1" s="114"/>
      <c r="V1" s="114"/>
      <c r="W1" s="114"/>
      <c r="X1" s="115"/>
    </row>
    <row r="2" spans="1:29"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9" ht="26.4" customHeight="1" x14ac:dyDescent="0.3">
      <c r="E3" s="119"/>
      <c r="F3" s="120"/>
      <c r="G3" s="120"/>
      <c r="H3" s="120"/>
      <c r="I3" s="120"/>
      <c r="J3" s="120"/>
      <c r="K3" s="120"/>
      <c r="L3" s="120"/>
      <c r="M3" s="120"/>
      <c r="N3" s="120"/>
      <c r="O3" s="120"/>
      <c r="P3" s="120"/>
      <c r="Q3" s="120"/>
      <c r="R3" s="120"/>
      <c r="S3" s="120"/>
      <c r="T3" s="120"/>
      <c r="U3" s="120"/>
      <c r="V3" s="120"/>
      <c r="W3" s="120"/>
      <c r="X3" s="121"/>
    </row>
    <row r="4" spans="1:29" ht="26.4" customHeight="1" x14ac:dyDescent="0.3">
      <c r="E4" s="119"/>
      <c r="F4" s="120"/>
      <c r="G4" s="120"/>
      <c r="H4" s="120"/>
      <c r="I4" s="120"/>
      <c r="J4" s="120"/>
      <c r="K4" s="120"/>
      <c r="L4" s="120"/>
      <c r="M4" s="120"/>
      <c r="N4" s="120"/>
      <c r="O4" s="120"/>
      <c r="P4" s="120"/>
      <c r="Q4" s="120"/>
      <c r="R4" s="120"/>
      <c r="S4" s="120"/>
      <c r="T4" s="120"/>
      <c r="U4" s="120"/>
      <c r="V4" s="120"/>
      <c r="W4" s="120"/>
      <c r="X4" s="121"/>
    </row>
    <row r="5" spans="1:29" ht="26.4" customHeight="1" thickBot="1" x14ac:dyDescent="0.35">
      <c r="E5" s="122"/>
      <c r="F5" s="123"/>
      <c r="G5" s="123"/>
      <c r="H5" s="123"/>
      <c r="I5" s="123"/>
      <c r="J5" s="123"/>
      <c r="K5" s="123"/>
      <c r="L5" s="123"/>
      <c r="M5" s="123"/>
      <c r="N5" s="123"/>
      <c r="O5" s="123"/>
      <c r="P5" s="123"/>
      <c r="Q5" s="123"/>
      <c r="R5" s="123"/>
      <c r="S5" s="123"/>
      <c r="T5" s="123"/>
      <c r="U5" s="123"/>
      <c r="V5" s="123"/>
      <c r="W5" s="123"/>
      <c r="X5" s="124"/>
    </row>
    <row r="6" spans="1:29" ht="16.2" customHeight="1" thickTop="1" thickBot="1" x14ac:dyDescent="0.35">
      <c r="E6" s="99"/>
      <c r="F6" s="99"/>
      <c r="G6" s="99"/>
      <c r="H6" s="99"/>
      <c r="I6" s="99"/>
      <c r="J6" s="99"/>
      <c r="K6" s="99"/>
      <c r="L6" s="99"/>
      <c r="M6" s="99"/>
      <c r="N6" s="99"/>
      <c r="O6" s="99"/>
      <c r="P6" s="1177"/>
      <c r="Q6" s="1178"/>
      <c r="R6" s="1178"/>
      <c r="S6" s="1178"/>
      <c r="T6" s="1178"/>
      <c r="U6" s="1178"/>
      <c r="V6" s="1178"/>
      <c r="W6" s="1178"/>
      <c r="X6" s="1179"/>
    </row>
    <row r="7" spans="1:29" ht="16.2" customHeight="1" thickTop="1" thickBot="1" x14ac:dyDescent="0.35">
      <c r="E7" s="99"/>
      <c r="F7" s="99"/>
      <c r="G7" s="99"/>
      <c r="H7" s="99"/>
      <c r="I7" s="99"/>
      <c r="J7" s="99"/>
      <c r="K7" s="99"/>
      <c r="L7" s="99"/>
      <c r="M7" s="99"/>
      <c r="N7" s="99"/>
      <c r="O7" s="99"/>
      <c r="P7" s="1180"/>
      <c r="Q7" s="1181"/>
      <c r="R7" s="1181"/>
      <c r="S7" s="1181"/>
      <c r="T7" s="1181"/>
      <c r="U7" s="1181"/>
      <c r="V7" s="1181"/>
      <c r="W7" s="1181"/>
      <c r="X7" s="1182"/>
    </row>
    <row r="8" spans="1:29" ht="16.2" customHeight="1" thickTop="1" thickBot="1" x14ac:dyDescent="0.35">
      <c r="E8" s="99"/>
      <c r="F8" s="99"/>
      <c r="G8" s="99"/>
      <c r="H8" s="99"/>
      <c r="I8" s="99"/>
      <c r="J8" s="99"/>
      <c r="K8" s="99"/>
      <c r="L8" s="99"/>
      <c r="M8" s="99"/>
      <c r="N8" s="99"/>
      <c r="O8" s="99"/>
      <c r="P8" s="1183"/>
      <c r="Q8" s="1184"/>
      <c r="R8" s="1184"/>
      <c r="S8" s="1184"/>
      <c r="T8" s="1184"/>
      <c r="U8" s="1184"/>
      <c r="V8" s="1184"/>
      <c r="W8" s="1184"/>
      <c r="X8" s="1185"/>
    </row>
    <row r="9" spans="1:29" s="125" customFormat="1" ht="16.2" customHeight="1" thickTop="1" thickBot="1" x14ac:dyDescent="0.35">
      <c r="E9" s="99"/>
      <c r="F9" s="99"/>
      <c r="G9" s="99"/>
      <c r="H9" s="99"/>
      <c r="I9" s="99"/>
      <c r="J9" s="99"/>
      <c r="K9" s="99"/>
      <c r="L9" s="99"/>
      <c r="M9" s="99"/>
      <c r="N9" s="99"/>
      <c r="O9" s="99"/>
      <c r="P9" s="1186"/>
      <c r="Q9" s="1187"/>
      <c r="R9" s="1187"/>
      <c r="S9" s="1187"/>
      <c r="T9" s="1187"/>
      <c r="U9" s="1187"/>
      <c r="V9" s="1187"/>
      <c r="W9" s="1187"/>
      <c r="X9" s="1188"/>
    </row>
    <row r="10" spans="1:29" s="125" customFormat="1" ht="16.2" customHeight="1" thickTop="1" thickBot="1" x14ac:dyDescent="0.35">
      <c r="E10" s="99"/>
      <c r="F10" s="99"/>
      <c r="G10" s="99"/>
      <c r="H10" s="99"/>
      <c r="I10" s="99"/>
      <c r="J10" s="99"/>
      <c r="K10" s="99"/>
      <c r="L10" s="99"/>
      <c r="M10" s="99"/>
      <c r="N10" s="99"/>
      <c r="O10" s="99"/>
      <c r="P10" s="1165"/>
      <c r="Q10" s="1166"/>
      <c r="R10" s="1166"/>
      <c r="S10" s="1166"/>
      <c r="T10" s="1166"/>
      <c r="U10" s="1166"/>
      <c r="V10" s="1166"/>
      <c r="W10" s="1166"/>
      <c r="X10" s="1167"/>
      <c r="AC10" s="126"/>
    </row>
    <row r="11" spans="1:29" s="125" customFormat="1" ht="16.2" customHeight="1" thickTop="1" thickBot="1" x14ac:dyDescent="0.35">
      <c r="E11" s="127"/>
      <c r="F11" s="127"/>
      <c r="G11" s="127"/>
      <c r="H11" s="127"/>
      <c r="I11" s="127"/>
      <c r="J11" s="127"/>
      <c r="K11" s="127"/>
      <c r="L11" s="127"/>
      <c r="M11" s="128"/>
      <c r="N11" s="128"/>
      <c r="O11" s="128"/>
      <c r="P11" s="1168"/>
      <c r="Q11" s="1169"/>
      <c r="R11" s="1169"/>
      <c r="S11" s="1169"/>
      <c r="T11" s="1169"/>
      <c r="U11" s="1169"/>
      <c r="V11" s="1169"/>
      <c r="W11" s="1169"/>
      <c r="X11" s="1170"/>
    </row>
    <row r="12" spans="1:29" ht="16.2" customHeight="1" thickTop="1" thickBot="1" x14ac:dyDescent="0.35">
      <c r="E12" s="129"/>
      <c r="F12" s="129"/>
      <c r="G12" s="130"/>
      <c r="H12" s="130"/>
      <c r="I12" s="131"/>
      <c r="J12" s="130"/>
      <c r="K12" s="130"/>
      <c r="L12" s="131"/>
      <c r="M12" s="130"/>
      <c r="N12" s="130"/>
      <c r="O12" s="131"/>
      <c r="P12" s="1168"/>
      <c r="Q12" s="1169"/>
      <c r="R12" s="1169"/>
      <c r="S12" s="1169"/>
      <c r="T12" s="1169"/>
      <c r="U12" s="1169"/>
      <c r="V12" s="1169"/>
      <c r="W12" s="1169"/>
      <c r="X12" s="1170"/>
    </row>
    <row r="13" spans="1:29" ht="16.2" customHeight="1" thickTop="1" thickBot="1" x14ac:dyDescent="0.35">
      <c r="E13" s="132"/>
      <c r="F13" s="133"/>
      <c r="G13" s="134"/>
      <c r="H13" s="134"/>
      <c r="I13" s="135"/>
      <c r="J13" s="134"/>
      <c r="K13" s="134"/>
      <c r="L13" s="135"/>
      <c r="M13" s="134"/>
      <c r="N13" s="134"/>
      <c r="O13" s="135"/>
      <c r="P13" s="1171"/>
      <c r="Q13" s="1172"/>
      <c r="R13" s="1172"/>
      <c r="S13" s="1172"/>
      <c r="T13" s="1172"/>
      <c r="U13" s="1172"/>
      <c r="V13" s="1172"/>
      <c r="W13" s="1172"/>
      <c r="X13" s="1173"/>
    </row>
    <row r="14" spans="1:29" ht="16.2" customHeight="1" thickTop="1" thickBot="1" x14ac:dyDescent="0.35">
      <c r="E14" s="132"/>
      <c r="F14" s="133"/>
      <c r="G14" s="134"/>
      <c r="H14" s="134"/>
      <c r="I14" s="135"/>
      <c r="J14" s="134"/>
      <c r="K14" s="134"/>
      <c r="L14" s="135"/>
      <c r="M14" s="134"/>
      <c r="N14" s="134"/>
      <c r="O14" s="135"/>
      <c r="P14" s="1174"/>
      <c r="Q14" s="1175"/>
      <c r="R14" s="1175"/>
      <c r="S14" s="1175"/>
      <c r="T14" s="1175"/>
      <c r="U14" s="1175"/>
      <c r="V14" s="1175"/>
      <c r="W14" s="1175"/>
      <c r="X14" s="1176"/>
    </row>
    <row r="15" spans="1:29" ht="16.2" customHeight="1" thickTop="1" thickBot="1" x14ac:dyDescent="0.35">
      <c r="E15" s="132"/>
      <c r="F15" s="133"/>
      <c r="G15" s="134"/>
      <c r="H15" s="134"/>
      <c r="I15" s="135"/>
      <c r="J15" s="134"/>
      <c r="K15" s="134"/>
      <c r="L15" s="135"/>
      <c r="M15" s="134"/>
      <c r="N15" s="134"/>
      <c r="O15" s="135"/>
      <c r="P15" s="136"/>
      <c r="Q15" s="137"/>
      <c r="R15" s="138"/>
      <c r="S15" s="137"/>
      <c r="T15" s="137"/>
      <c r="U15" s="138"/>
      <c r="V15" s="139"/>
      <c r="W15" s="139"/>
      <c r="X15" s="140"/>
    </row>
    <row r="16" spans="1:29" ht="16.2" customHeight="1" thickTop="1" thickBot="1" x14ac:dyDescent="0.35">
      <c r="E16" s="132"/>
      <c r="F16" s="133"/>
      <c r="G16" s="141"/>
      <c r="H16" s="141"/>
      <c r="I16" s="135"/>
      <c r="J16" s="141"/>
      <c r="K16" s="141"/>
      <c r="L16" s="135"/>
      <c r="M16" s="141"/>
      <c r="N16" s="141"/>
      <c r="O16" s="135"/>
      <c r="P16" s="142"/>
      <c r="Q16" s="143"/>
      <c r="R16" s="143"/>
      <c r="S16" s="144"/>
      <c r="T16" s="144"/>
      <c r="U16" s="144"/>
      <c r="V16" s="145"/>
      <c r="W16" s="145"/>
      <c r="X16" s="146"/>
    </row>
    <row r="17" spans="5:24" ht="16.2" customHeight="1" thickTop="1" thickBot="1" x14ac:dyDescent="0.35">
      <c r="E17" s="147"/>
      <c r="F17" s="133"/>
      <c r="G17" s="148"/>
      <c r="H17" s="134"/>
      <c r="I17" s="135"/>
      <c r="J17" s="148"/>
      <c r="K17" s="134"/>
      <c r="L17" s="135"/>
      <c r="M17" s="148"/>
      <c r="N17" s="134"/>
      <c r="O17" s="135"/>
      <c r="P17" s="142"/>
      <c r="Q17" s="143"/>
      <c r="R17" s="143"/>
      <c r="S17" s="144"/>
      <c r="T17" s="144"/>
      <c r="U17" s="144"/>
      <c r="V17" s="145"/>
      <c r="W17" s="145"/>
      <c r="X17" s="146"/>
    </row>
    <row r="18" spans="5:24" ht="16.2" customHeight="1" thickTop="1" thickBot="1" x14ac:dyDescent="0.35">
      <c r="E18" s="147"/>
      <c r="F18" s="133"/>
      <c r="G18" s="134"/>
      <c r="H18" s="134"/>
      <c r="I18" s="135"/>
      <c r="J18" s="134"/>
      <c r="K18" s="134"/>
      <c r="L18" s="135"/>
      <c r="M18" s="134"/>
      <c r="N18" s="134"/>
      <c r="O18" s="135"/>
      <c r="P18" s="142"/>
      <c r="Q18" s="143"/>
      <c r="R18" s="143"/>
      <c r="S18" s="144"/>
      <c r="T18" s="144"/>
      <c r="U18" s="144"/>
      <c r="V18" s="145"/>
      <c r="W18" s="145"/>
      <c r="X18" s="146"/>
    </row>
    <row r="19" spans="5:24" ht="16.2" customHeight="1" thickTop="1" thickBot="1" x14ac:dyDescent="0.35">
      <c r="E19" s="149"/>
      <c r="F19" s="149"/>
      <c r="G19" s="149"/>
      <c r="H19" s="149"/>
      <c r="I19" s="149"/>
      <c r="J19" s="149"/>
      <c r="K19" s="149"/>
      <c r="L19" s="149"/>
      <c r="M19" s="149"/>
      <c r="N19" s="149"/>
      <c r="O19" s="149"/>
      <c r="P19" s="142"/>
      <c r="Q19" s="143"/>
      <c r="R19" s="143"/>
      <c r="S19" s="144"/>
      <c r="T19" s="144"/>
      <c r="U19" s="144"/>
      <c r="V19" s="145"/>
      <c r="W19" s="145"/>
      <c r="X19" s="146"/>
    </row>
    <row r="20" spans="5:24" ht="16.2" customHeight="1" thickTop="1" thickBot="1" x14ac:dyDescent="0.35">
      <c r="E20" s="150"/>
      <c r="F20" s="150"/>
      <c r="G20" s="127"/>
      <c r="H20" s="127"/>
      <c r="I20" s="127"/>
      <c r="J20" s="127"/>
      <c r="K20" s="127"/>
      <c r="L20" s="127"/>
      <c r="M20" s="128"/>
      <c r="N20" s="128"/>
      <c r="O20" s="128"/>
      <c r="P20" s="142"/>
      <c r="Q20" s="143"/>
      <c r="R20" s="143"/>
      <c r="S20" s="144"/>
      <c r="T20" s="144"/>
      <c r="U20" s="144"/>
      <c r="V20" s="145"/>
      <c r="W20" s="145"/>
      <c r="X20" s="146"/>
    </row>
    <row r="21" spans="5:24" ht="24" customHeight="1" thickTop="1" thickBot="1" x14ac:dyDescent="0.35">
      <c r="E21" s="149"/>
      <c r="F21" s="149"/>
      <c r="G21" s="129"/>
      <c r="H21" s="129"/>
      <c r="I21" s="129"/>
      <c r="J21" s="129"/>
      <c r="K21" s="129"/>
      <c r="L21" s="129"/>
      <c r="M21" s="129"/>
      <c r="N21" s="129"/>
      <c r="O21" s="129"/>
      <c r="P21" s="151"/>
      <c r="Q21" s="152"/>
      <c r="R21" s="152"/>
      <c r="S21" s="152"/>
      <c r="T21" s="152"/>
      <c r="U21" s="152"/>
      <c r="V21" s="152"/>
      <c r="W21" s="152"/>
      <c r="X21" s="146"/>
    </row>
    <row r="22" spans="5:24" ht="24" customHeight="1" thickTop="1" thickBot="1" x14ac:dyDescent="0.35">
      <c r="E22" s="149"/>
      <c r="F22" s="149"/>
      <c r="G22" s="129"/>
      <c r="H22" s="129"/>
      <c r="I22" s="129"/>
      <c r="J22" s="129"/>
      <c r="K22" s="129"/>
      <c r="L22" s="129"/>
      <c r="M22" s="129"/>
      <c r="N22" s="129"/>
      <c r="O22" s="129"/>
      <c r="P22" s="151"/>
      <c r="Q22" s="152"/>
      <c r="R22" s="152"/>
      <c r="S22" s="152"/>
      <c r="T22" s="152"/>
      <c r="U22" s="152"/>
      <c r="V22" s="152"/>
      <c r="W22" s="145"/>
      <c r="X22" s="146"/>
    </row>
    <row r="23" spans="5:24" ht="24" customHeight="1" thickTop="1" thickBot="1" x14ac:dyDescent="0.45">
      <c r="E23" s="149"/>
      <c r="F23" s="149"/>
      <c r="G23" s="129"/>
      <c r="H23" s="129"/>
      <c r="I23" s="129"/>
      <c r="J23" s="129"/>
      <c r="K23" s="129"/>
      <c r="L23" s="129"/>
      <c r="M23" s="129"/>
      <c r="N23" s="129"/>
      <c r="O23" s="129"/>
      <c r="P23" s="151"/>
      <c r="Q23" s="152"/>
      <c r="R23" s="152"/>
      <c r="S23" s="152"/>
      <c r="T23" s="152"/>
      <c r="U23" s="152"/>
      <c r="V23" s="152"/>
      <c r="W23" s="105" t="str">
        <f t="array" ref="W23:W34">IF(ISBLANK(REP.companycontacts),"",REP.companycontacts)</f>
        <v/>
      </c>
      <c r="X23" s="146"/>
    </row>
    <row r="24" spans="5:24" ht="24" customHeight="1" thickTop="1" thickBot="1" x14ac:dyDescent="0.35">
      <c r="E24" s="127"/>
      <c r="F24" s="127"/>
      <c r="G24" s="129"/>
      <c r="H24" s="129"/>
      <c r="I24" s="129"/>
      <c r="J24" s="129"/>
      <c r="K24" s="129"/>
      <c r="L24" s="129"/>
      <c r="M24" s="129"/>
      <c r="N24" s="129"/>
      <c r="O24" s="129"/>
      <c r="P24" s="151"/>
      <c r="Q24" s="152"/>
      <c r="R24" s="152"/>
      <c r="S24" s="152"/>
      <c r="T24" s="152"/>
      <c r="U24" s="152"/>
      <c r="V24" s="152"/>
      <c r="W24" s="106" t="str">
        <f ca="1"/>
        <v>Global Tourism Solutions (UK) Ltd</v>
      </c>
      <c r="X24" s="146"/>
    </row>
    <row r="25" spans="5:24" ht="16.2" customHeight="1" thickTop="1" thickBot="1" x14ac:dyDescent="0.3">
      <c r="E25" s="149"/>
      <c r="F25" s="149"/>
      <c r="G25" s="149"/>
      <c r="H25" s="149"/>
      <c r="I25" s="149"/>
      <c r="J25" s="149"/>
      <c r="K25" s="149"/>
      <c r="L25" s="149"/>
      <c r="M25" s="149"/>
      <c r="N25" s="149"/>
      <c r="O25" s="149"/>
      <c r="P25" s="153"/>
      <c r="Q25" s="144"/>
      <c r="R25" s="144"/>
      <c r="S25" s="144"/>
      <c r="T25" s="144"/>
      <c r="U25" s="144"/>
      <c r="V25" s="144"/>
      <c r="W25" s="107" t="str">
        <f ca="1"/>
        <v xml:space="preserve">71 Heol Gwys </v>
      </c>
      <c r="X25" s="146"/>
    </row>
    <row r="26" spans="5:24" ht="16.2" customHeight="1" thickTop="1" thickBot="1" x14ac:dyDescent="0.3">
      <c r="E26" s="129"/>
      <c r="F26" s="129"/>
      <c r="G26" s="129"/>
      <c r="H26" s="129"/>
      <c r="I26" s="129"/>
      <c r="J26" s="130"/>
      <c r="K26" s="130"/>
      <c r="L26" s="131"/>
      <c r="M26" s="149"/>
      <c r="N26" s="149"/>
      <c r="O26" s="149"/>
      <c r="P26" s="154"/>
      <c r="Q26" s="155"/>
      <c r="R26" s="156"/>
      <c r="S26" s="152"/>
      <c r="T26" s="152"/>
      <c r="U26" s="152"/>
      <c r="V26" s="152"/>
      <c r="W26" s="108" t="str">
        <f ca="1"/>
        <v xml:space="preserve">Upper Cwmtwrch </v>
      </c>
      <c r="X26" s="146"/>
    </row>
    <row r="27" spans="5:24" ht="16.2" customHeight="1" thickTop="1" thickBot="1" x14ac:dyDescent="0.3">
      <c r="E27" s="129"/>
      <c r="F27" s="129"/>
      <c r="G27" s="129"/>
      <c r="H27" s="129"/>
      <c r="I27" s="129"/>
      <c r="J27" s="141"/>
      <c r="K27" s="141"/>
      <c r="L27" s="135"/>
      <c r="M27" s="129"/>
      <c r="N27" s="129"/>
      <c r="O27" s="129"/>
      <c r="P27" s="157"/>
      <c r="Q27" s="158"/>
      <c r="R27" s="159"/>
      <c r="S27" s="152"/>
      <c r="T27" s="152"/>
      <c r="U27" s="152"/>
      <c r="V27" s="152"/>
      <c r="W27" s="108" t="str">
        <f ca="1"/>
        <v xml:space="preserve">Swansea </v>
      </c>
      <c r="X27" s="146"/>
    </row>
    <row r="28" spans="5:24" ht="16.2" customHeight="1" thickTop="1" thickBot="1" x14ac:dyDescent="0.3">
      <c r="E28" s="129"/>
      <c r="F28" s="129"/>
      <c r="G28" s="129"/>
      <c r="H28" s="129"/>
      <c r="I28" s="129"/>
      <c r="J28" s="141"/>
      <c r="K28" s="141"/>
      <c r="L28" s="135"/>
      <c r="M28" s="129"/>
      <c r="N28" s="129"/>
      <c r="O28" s="129"/>
      <c r="P28" s="157"/>
      <c r="Q28" s="158"/>
      <c r="R28" s="159"/>
      <c r="S28" s="152"/>
      <c r="T28" s="152"/>
      <c r="U28" s="152"/>
      <c r="V28" s="152"/>
      <c r="W28" s="108" t="str">
        <f ca="1"/>
        <v>SA9 2XH</v>
      </c>
      <c r="X28" s="146"/>
    </row>
    <row r="29" spans="5:24" ht="16.2" customHeight="1" thickTop="1" thickBot="1" x14ac:dyDescent="0.3">
      <c r="E29" s="129"/>
      <c r="F29" s="129"/>
      <c r="G29" s="129"/>
      <c r="H29" s="129"/>
      <c r="I29" s="129"/>
      <c r="J29" s="141"/>
      <c r="K29" s="141"/>
      <c r="L29" s="135"/>
      <c r="M29" s="129"/>
      <c r="N29" s="129"/>
      <c r="O29" s="129"/>
      <c r="P29" s="157"/>
      <c r="Q29" s="158"/>
      <c r="R29" s="159"/>
      <c r="S29" s="152"/>
      <c r="T29" s="152"/>
      <c r="U29" s="152"/>
      <c r="V29" s="152"/>
      <c r="W29" s="108">
        <f ca="1"/>
        <v>0</v>
      </c>
      <c r="X29" s="146"/>
    </row>
    <row r="30" spans="5:24" ht="16.2" customHeight="1" thickTop="1" thickBot="1" x14ac:dyDescent="0.3">
      <c r="E30" s="129"/>
      <c r="F30" s="129"/>
      <c r="G30" s="129"/>
      <c r="H30" s="129"/>
      <c r="I30" s="129"/>
      <c r="J30" s="141"/>
      <c r="K30" s="141"/>
      <c r="L30" s="135"/>
      <c r="M30" s="129"/>
      <c r="N30" s="129"/>
      <c r="O30" s="129"/>
      <c r="P30" s="157"/>
      <c r="Q30" s="158"/>
      <c r="R30" s="159"/>
      <c r="S30" s="152"/>
      <c r="T30" s="152"/>
      <c r="U30" s="152"/>
      <c r="V30" s="152"/>
      <c r="W30" s="108">
        <f ca="1"/>
        <v>0</v>
      </c>
      <c r="X30" s="146"/>
    </row>
    <row r="31" spans="5:24" ht="16.2" customHeight="1" thickTop="1" thickBot="1" x14ac:dyDescent="0.3">
      <c r="E31" s="129"/>
      <c r="F31" s="129"/>
      <c r="G31" s="129"/>
      <c r="H31" s="129"/>
      <c r="I31" s="129"/>
      <c r="J31" s="141"/>
      <c r="K31" s="141"/>
      <c r="L31" s="135"/>
      <c r="M31" s="129"/>
      <c r="N31" s="129"/>
      <c r="O31" s="129"/>
      <c r="P31" s="157"/>
      <c r="Q31" s="158"/>
      <c r="R31" s="159"/>
      <c r="S31" s="152"/>
      <c r="T31" s="152"/>
      <c r="U31" s="152"/>
      <c r="V31" s="152"/>
      <c r="W31" s="107" t="str">
        <f ca="1"/>
        <v>Telephone: 0798 445 5388</v>
      </c>
      <c r="X31" s="146"/>
    </row>
    <row r="32" spans="5:24" ht="16.2" customHeight="1" thickTop="1" thickBot="1" x14ac:dyDescent="0.3">
      <c r="E32" s="129"/>
      <c r="F32" s="129"/>
      <c r="G32" s="129"/>
      <c r="H32" s="129"/>
      <c r="I32" s="129"/>
      <c r="J32" s="160"/>
      <c r="K32" s="160"/>
      <c r="L32" s="161"/>
      <c r="M32" s="149"/>
      <c r="N32" s="149"/>
      <c r="O32" s="149"/>
      <c r="P32" s="162"/>
      <c r="Q32" s="163"/>
      <c r="R32" s="164"/>
      <c r="S32" s="152"/>
      <c r="T32" s="152"/>
      <c r="U32" s="152"/>
      <c r="V32" s="152"/>
      <c r="W32" s="107" t="str">
        <f ca="1"/>
        <v>Email: cathryn.j@gtsuk.co.uk</v>
      </c>
      <c r="X32" s="146"/>
    </row>
    <row r="33" spans="4:24" ht="16.2" customHeight="1" thickTop="1" thickBot="1" x14ac:dyDescent="0.3">
      <c r="E33" s="129"/>
      <c r="F33" s="129"/>
      <c r="G33" s="129"/>
      <c r="H33" s="129"/>
      <c r="I33" s="129"/>
      <c r="J33" s="141"/>
      <c r="K33" s="141"/>
      <c r="L33" s="135"/>
      <c r="M33" s="129"/>
      <c r="N33" s="129"/>
      <c r="O33" s="129"/>
      <c r="P33" s="157"/>
      <c r="Q33" s="158"/>
      <c r="R33" s="159"/>
      <c r="S33" s="152"/>
      <c r="T33" s="152"/>
      <c r="U33" s="152"/>
      <c r="V33" s="152"/>
      <c r="W33" s="107" t="str">
        <f ca="1"/>
        <v>Website: www.globaltourismsolutions.co.uk</v>
      </c>
      <c r="X33" s="146"/>
    </row>
    <row r="34" spans="4:24" ht="16.2" customHeight="1" thickTop="1" thickBot="1" x14ac:dyDescent="0.35">
      <c r="E34" s="129"/>
      <c r="F34" s="129"/>
      <c r="G34" s="129"/>
      <c r="H34" s="129"/>
      <c r="I34" s="129"/>
      <c r="J34" s="160"/>
      <c r="K34" s="160"/>
      <c r="L34" s="161"/>
      <c r="M34" s="149"/>
      <c r="N34" s="149"/>
      <c r="O34" s="149"/>
      <c r="P34" s="165"/>
      <c r="Q34" s="166"/>
      <c r="R34" s="167"/>
      <c r="S34" s="168"/>
      <c r="T34" s="168"/>
      <c r="U34" s="168"/>
      <c r="V34" s="168"/>
      <c r="W34" s="109" t="str">
        <v/>
      </c>
      <c r="X34" s="169"/>
    </row>
    <row r="35" spans="4:24" s="174" customFormat="1" ht="16.2" customHeight="1" thickTop="1" thickBot="1" x14ac:dyDescent="0.2">
      <c r="D35" s="170"/>
      <c r="E35" s="171"/>
      <c r="F35" s="172"/>
      <c r="G35" s="172"/>
      <c r="H35" s="172"/>
      <c r="I35" s="172"/>
      <c r="J35" s="172"/>
      <c r="K35" s="172"/>
      <c r="L35" s="172"/>
      <c r="M35" s="172"/>
      <c r="N35" s="172"/>
      <c r="O35" s="172"/>
      <c r="P35" s="172"/>
      <c r="Q35" s="172"/>
      <c r="R35" s="172"/>
      <c r="S35" s="172"/>
      <c r="T35" s="172"/>
      <c r="U35" s="172"/>
      <c r="V35" s="172"/>
      <c r="W35" s="172"/>
      <c r="X35" s="173"/>
    </row>
    <row r="36" spans="4:24" ht="16.2" customHeight="1" thickTop="1" x14ac:dyDescent="0.3"/>
    <row r="67" spans="7:23" ht="16.2" customHeight="1" x14ac:dyDescent="0.3">
      <c r="G67" s="111" t="s">
        <v>43</v>
      </c>
      <c r="H67" s="111" t="s">
        <v>43</v>
      </c>
      <c r="J67" s="111" t="s">
        <v>48</v>
      </c>
      <c r="K67" s="111" t="s">
        <v>48</v>
      </c>
      <c r="M67" s="111" t="s">
        <v>18</v>
      </c>
      <c r="N67" s="111" t="s">
        <v>18</v>
      </c>
      <c r="P67" s="111" t="s">
        <v>95</v>
      </c>
      <c r="S67" s="111" t="s">
        <v>71</v>
      </c>
      <c r="T67" s="111" t="s">
        <v>71</v>
      </c>
      <c r="V67" s="111" t="s">
        <v>54</v>
      </c>
      <c r="W67" s="111" t="s">
        <v>54</v>
      </c>
    </row>
  </sheetData>
  <sheetProtection algorithmName="SHA-512" hashValue="pNGFmeStYFc+bqkXFx3yJ347Cyp5raDgqKEhBbDxvMPAd3LaNe5SiA7PyUrOQxuZCxpozw5wVDrPh+4mdWiJtQ==" saltValue="+WXJ9rCpubPtmFQElIBa9A==" spinCount="100000" sheet="1" objects="1" scenarios="1"/>
  <mergeCells count="4">
    <mergeCell ref="P10:X13"/>
    <mergeCell ref="P14:X14"/>
    <mergeCell ref="P6:X7"/>
    <mergeCell ref="P8:X9"/>
  </mergeCells>
  <printOptions horizontalCentered="1" verticalCentered="1"/>
  <pageMargins left="0.70866141732283472" right="0.70866141732283472" top="0.74803149606299213" bottom="0.74803149606299213" header="0.31496062992125984" footer="0.31496062992125984"/>
  <pageSetup paperSize="9" scale="9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Client05">
    <tabColor rgb="FF00B0F0"/>
    <outlinePr showOutlineSymbols="0"/>
    <pageSetUpPr autoPageBreaks="0" fitToPage="1"/>
  </sheetPr>
  <dimension ref="A1:Y70"/>
  <sheetViews>
    <sheetView showGridLines="0" showRowColHeaders="0" showZeros="0" showOutlineSymbols="0" topLeftCell="A2" zoomScaleNormal="100" workbookViewId="0">
      <pane ySplit="6" topLeftCell="A11" activePane="bottomLeft" state="frozen"/>
      <selection activeCell="M48" sqref="M48"/>
      <selection pane="bottomLeft" activeCell="Z16" sqref="Z16"/>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5" ht="16.2" hidden="1" customHeight="1" thickTop="1" thickBot="1" x14ac:dyDescent="0.35">
      <c r="A1" s="110" t="str">
        <f ca="1">MID(CELL("filename",A1),FIND("]",CELL("filename",A1))+1,255)</f>
        <v>CONTENTS</v>
      </c>
      <c r="E1" s="113"/>
      <c r="F1" s="114"/>
      <c r="G1" s="114"/>
      <c r="H1" s="114"/>
      <c r="I1" s="114"/>
      <c r="J1" s="114"/>
      <c r="K1" s="114"/>
      <c r="L1" s="114"/>
      <c r="M1" s="114"/>
      <c r="N1" s="114"/>
      <c r="O1" s="114"/>
      <c r="P1" s="114"/>
      <c r="Q1" s="114"/>
      <c r="R1" s="114"/>
      <c r="S1" s="114"/>
      <c r="T1" s="114"/>
      <c r="U1" s="114"/>
      <c r="V1" s="114"/>
      <c r="W1" s="114"/>
      <c r="X1" s="115"/>
    </row>
    <row r="2" spans="1:25"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5" ht="26.4" customHeight="1" x14ac:dyDescent="0.3">
      <c r="E3" s="119"/>
      <c r="F3" s="120"/>
      <c r="G3" s="120"/>
      <c r="H3" s="120"/>
      <c r="I3" s="120"/>
      <c r="J3" s="120"/>
      <c r="K3" s="120"/>
      <c r="L3" s="120"/>
      <c r="M3" s="120"/>
      <c r="N3" s="120"/>
      <c r="O3" s="120"/>
      <c r="P3" s="120"/>
      <c r="Q3" s="120"/>
      <c r="R3" s="120"/>
      <c r="S3" s="120"/>
      <c r="T3" s="120"/>
      <c r="U3" s="120"/>
      <c r="V3" s="120"/>
      <c r="W3" s="120"/>
      <c r="X3" s="121"/>
    </row>
    <row r="4" spans="1:25" ht="26.4" customHeight="1" x14ac:dyDescent="0.3">
      <c r="E4" s="204"/>
      <c r="F4" s="205"/>
      <c r="G4" s="205"/>
      <c r="H4" s="205"/>
      <c r="I4" s="205"/>
      <c r="J4" s="205"/>
      <c r="K4" s="205"/>
      <c r="L4" s="205"/>
      <c r="M4" s="205"/>
      <c r="N4" s="205"/>
      <c r="O4" s="205"/>
      <c r="P4" s="205"/>
      <c r="Q4" s="205"/>
      <c r="R4" s="205"/>
      <c r="S4" s="205"/>
      <c r="T4" s="205"/>
      <c r="U4" s="205"/>
      <c r="V4" s="205"/>
      <c r="W4" s="205"/>
      <c r="X4" s="206"/>
    </row>
    <row r="5" spans="1:25"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5" ht="16.2" customHeight="1" thickTop="1" x14ac:dyDescent="0.3">
      <c r="E6" s="559" t="str">
        <f>REP.title1</f>
        <v>STEAM FINAL TREND REPORT FOR 2011-2022</v>
      </c>
      <c r="F6" s="560"/>
      <c r="G6" s="560"/>
      <c r="H6" s="560"/>
      <c r="I6" s="560"/>
      <c r="J6" s="560"/>
      <c r="K6" s="560"/>
      <c r="L6" s="560"/>
      <c r="M6" s="560"/>
      <c r="N6" s="560"/>
      <c r="O6" s="560"/>
      <c r="P6" s="561"/>
      <c r="Q6" s="561"/>
      <c r="R6" s="561"/>
      <c r="S6" s="561"/>
      <c r="T6" s="795" t="s">
        <v>141</v>
      </c>
      <c r="U6" s="795"/>
      <c r="V6" s="795"/>
      <c r="W6" s="795"/>
      <c r="X6" s="796"/>
    </row>
    <row r="7" spans="1:25" ht="16.2" customHeight="1" thickBot="1" x14ac:dyDescent="0.35">
      <c r="E7" s="562" t="str">
        <f>REP.title2</f>
        <v>NORTH WALES</v>
      </c>
      <c r="F7" s="563"/>
      <c r="G7" s="563"/>
      <c r="H7" s="563"/>
      <c r="I7" s="564"/>
      <c r="J7" s="564"/>
      <c r="K7" s="564"/>
      <c r="L7" s="564"/>
      <c r="M7" s="564"/>
      <c r="N7" s="564"/>
      <c r="O7" s="565"/>
      <c r="P7" s="565"/>
      <c r="Q7" s="565"/>
      <c r="R7" s="565"/>
      <c r="S7" s="565"/>
      <c r="T7" s="798"/>
      <c r="U7" s="798"/>
      <c r="V7" s="798"/>
      <c r="W7" s="798"/>
      <c r="X7" s="799"/>
    </row>
    <row r="8" spans="1:25"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5" s="125" customFormat="1" ht="16.2" customHeight="1" thickTop="1" thickBot="1" x14ac:dyDescent="0.35">
      <c r="E9" s="536"/>
      <c r="F9" s="537"/>
      <c r="G9" s="537"/>
      <c r="H9" s="537"/>
      <c r="I9" s="537"/>
      <c r="J9" s="537"/>
      <c r="K9" s="537"/>
      <c r="L9" s="537"/>
      <c r="M9" s="537"/>
      <c r="N9" s="538"/>
      <c r="O9" s="536"/>
      <c r="P9" s="537"/>
      <c r="Q9" s="537"/>
      <c r="R9" s="537"/>
      <c r="S9" s="537"/>
      <c r="T9" s="537"/>
      <c r="U9" s="537"/>
      <c r="V9" s="537"/>
      <c r="W9" s="537"/>
      <c r="X9" s="538"/>
    </row>
    <row r="10" spans="1:25" s="125" customFormat="1" ht="16.2" customHeight="1" thickTop="1" thickBot="1" x14ac:dyDescent="0.35">
      <c r="E10" s="241"/>
      <c r="F10" s="242"/>
      <c r="G10" s="243"/>
      <c r="H10" s="244"/>
      <c r="I10" s="244"/>
      <c r="J10" s="244"/>
      <c r="K10" s="244"/>
      <c r="L10" s="244"/>
      <c r="M10" s="244"/>
      <c r="N10" s="244"/>
      <c r="O10" s="244"/>
      <c r="P10" s="244"/>
      <c r="Q10" s="244"/>
      <c r="R10" s="245"/>
      <c r="S10" s="246"/>
      <c r="T10" s="246"/>
      <c r="U10" s="247"/>
      <c r="V10" s="248"/>
      <c r="W10" s="248"/>
      <c r="X10" s="249"/>
    </row>
    <row r="11" spans="1:25" s="125" customFormat="1" ht="16.2" customHeight="1" thickTop="1" thickBot="1" x14ac:dyDescent="0.35">
      <c r="E11" s="241"/>
      <c r="F11" s="242"/>
      <c r="G11" s="241"/>
      <c r="H11" s="250"/>
      <c r="I11" s="242"/>
      <c r="J11" s="241"/>
      <c r="K11" s="250"/>
      <c r="L11" s="242"/>
      <c r="M11" s="251"/>
      <c r="N11" s="252"/>
      <c r="O11" s="253"/>
      <c r="P11" s="251"/>
      <c r="Q11" s="252"/>
      <c r="R11" s="253"/>
      <c r="S11" s="254"/>
      <c r="T11" s="254"/>
      <c r="U11" s="255"/>
      <c r="V11" s="256"/>
      <c r="W11" s="256"/>
      <c r="X11" s="257"/>
    </row>
    <row r="12" spans="1:25" ht="16.2" customHeight="1" thickTop="1" thickBot="1" x14ac:dyDescent="0.35">
      <c r="E12" s="258"/>
      <c r="F12" s="259"/>
      <c r="G12" s="260"/>
      <c r="H12" s="260"/>
      <c r="I12" s="260"/>
      <c r="J12" s="260"/>
      <c r="K12" s="260"/>
      <c r="L12" s="260"/>
      <c r="M12" s="261"/>
      <c r="N12" s="261"/>
      <c r="O12" s="261"/>
      <c r="P12" s="261"/>
      <c r="Q12" s="261"/>
      <c r="R12" s="261"/>
      <c r="S12" s="262"/>
      <c r="T12" s="262"/>
      <c r="U12" s="263"/>
      <c r="V12" s="263"/>
      <c r="W12" s="213"/>
      <c r="X12" s="213"/>
    </row>
    <row r="13" spans="1:25" ht="16.2" customHeight="1" thickTop="1" thickBot="1" x14ac:dyDescent="0.35">
      <c r="E13" s="264"/>
      <c r="F13" s="264"/>
      <c r="G13" s="135"/>
      <c r="H13" s="135"/>
      <c r="I13" s="135"/>
      <c r="J13" s="135"/>
      <c r="K13" s="135"/>
      <c r="L13" s="135"/>
      <c r="M13" s="192"/>
      <c r="N13" s="192"/>
      <c r="O13" s="192"/>
      <c r="P13" s="192"/>
      <c r="Q13" s="192"/>
      <c r="R13" s="192"/>
      <c r="S13" s="192"/>
      <c r="T13" s="265"/>
      <c r="U13" s="135"/>
      <c r="V13" s="135"/>
      <c r="W13" s="135"/>
      <c r="X13" s="135"/>
    </row>
    <row r="14" spans="1:25" ht="16.2" customHeight="1" thickTop="1" thickBot="1" x14ac:dyDescent="0.35">
      <c r="E14" s="264"/>
      <c r="F14" s="264"/>
      <c r="G14" s="135"/>
      <c r="H14" s="135"/>
      <c r="I14" s="135"/>
      <c r="J14" s="135"/>
      <c r="K14" s="135"/>
      <c r="L14" s="135"/>
      <c r="M14" s="192"/>
      <c r="N14" s="192"/>
      <c r="O14" s="192"/>
      <c r="P14" s="192"/>
      <c r="Q14" s="192"/>
      <c r="R14" s="192"/>
      <c r="S14" s="192"/>
      <c r="T14" s="265"/>
      <c r="U14" s="135"/>
      <c r="V14" s="135"/>
      <c r="W14" s="135"/>
      <c r="X14" s="135"/>
    </row>
    <row r="15" spans="1:25" ht="16.2" customHeight="1" thickTop="1" thickBot="1" x14ac:dyDescent="0.35">
      <c r="E15" s="264"/>
      <c r="F15" s="264"/>
      <c r="G15" s="135"/>
      <c r="H15" s="135"/>
      <c r="I15" s="135"/>
      <c r="J15" s="135"/>
      <c r="K15" s="135"/>
      <c r="L15" s="135"/>
      <c r="M15" s="192"/>
      <c r="N15" s="192"/>
      <c r="O15" s="192"/>
      <c r="P15" s="192"/>
      <c r="Q15" s="192"/>
      <c r="R15" s="192"/>
      <c r="S15" s="192"/>
      <c r="T15" s="265"/>
      <c r="U15" s="135"/>
      <c r="V15" s="135"/>
      <c r="W15" s="135"/>
      <c r="X15" s="135"/>
    </row>
    <row r="16" spans="1:25" ht="16.2" customHeight="1" thickTop="1" thickBot="1" x14ac:dyDescent="0.35">
      <c r="E16" s="266"/>
      <c r="F16" s="267"/>
      <c r="G16" s="268"/>
      <c r="H16" s="268"/>
      <c r="I16" s="268"/>
      <c r="J16" s="268"/>
      <c r="K16" s="268"/>
      <c r="L16" s="268"/>
      <c r="M16" s="269"/>
      <c r="N16" s="269"/>
      <c r="O16" s="269"/>
      <c r="P16" s="269"/>
      <c r="Q16" s="269"/>
      <c r="R16" s="269"/>
      <c r="S16" s="269"/>
      <c r="T16" s="265"/>
      <c r="U16" s="268"/>
      <c r="V16" s="268"/>
      <c r="W16" s="269"/>
      <c r="X16" s="269"/>
      <c r="Y16" s="270"/>
    </row>
    <row r="17" spans="4:24" ht="16.2" customHeight="1" thickTop="1" thickBot="1" x14ac:dyDescent="0.35">
      <c r="E17" s="266"/>
      <c r="F17" s="267"/>
      <c r="G17" s="268"/>
      <c r="H17" s="268"/>
      <c r="I17" s="268"/>
      <c r="J17" s="268"/>
      <c r="K17" s="268"/>
      <c r="L17" s="268"/>
      <c r="M17" s="269"/>
      <c r="N17" s="269"/>
      <c r="O17" s="269"/>
      <c r="P17" s="269"/>
      <c r="Q17" s="269"/>
      <c r="R17" s="269"/>
      <c r="S17" s="269"/>
      <c r="T17" s="135"/>
      <c r="U17" s="268"/>
      <c r="V17" s="268"/>
      <c r="W17" s="269"/>
      <c r="X17" s="269"/>
    </row>
    <row r="18" spans="4:24" ht="16.2" customHeight="1" thickTop="1" thickBot="1" x14ac:dyDescent="0.35">
      <c r="E18" s="266"/>
      <c r="F18" s="267"/>
      <c r="G18" s="268"/>
      <c r="H18" s="268"/>
      <c r="I18" s="268"/>
      <c r="J18" s="268"/>
      <c r="K18" s="268"/>
      <c r="L18" s="268"/>
      <c r="M18" s="269"/>
      <c r="N18" s="269"/>
      <c r="O18" s="269"/>
      <c r="P18" s="269"/>
      <c r="Q18" s="269"/>
      <c r="R18" s="269"/>
      <c r="S18" s="269"/>
      <c r="T18" s="135"/>
      <c r="U18" s="268"/>
      <c r="V18" s="268"/>
      <c r="W18" s="269"/>
      <c r="X18" s="269"/>
    </row>
    <row r="19" spans="4:24" ht="16.2" customHeight="1" thickTop="1" thickBot="1" x14ac:dyDescent="0.35">
      <c r="E19" s="266"/>
      <c r="F19" s="229"/>
      <c r="G19" s="271"/>
      <c r="H19" s="271"/>
      <c r="I19" s="271"/>
      <c r="J19" s="271"/>
      <c r="K19" s="271"/>
      <c r="L19" s="271"/>
      <c r="M19" s="272"/>
      <c r="N19" s="272"/>
      <c r="O19" s="273"/>
      <c r="P19" s="272"/>
      <c r="Q19" s="272"/>
      <c r="R19" s="272"/>
      <c r="S19" s="272"/>
      <c r="T19" s="274"/>
      <c r="U19" s="271"/>
      <c r="V19" s="271"/>
      <c r="W19" s="272"/>
      <c r="X19" s="275"/>
    </row>
    <row r="20" spans="4:24" ht="16.2" customHeight="1" thickTop="1" thickBot="1" x14ac:dyDescent="0.35">
      <c r="E20" s="243"/>
      <c r="F20" s="244"/>
      <c r="G20" s="244"/>
      <c r="H20" s="244"/>
      <c r="I20" s="244"/>
      <c r="J20" s="244"/>
      <c r="K20" s="244"/>
      <c r="L20" s="244"/>
      <c r="M20" s="244"/>
      <c r="N20" s="244"/>
      <c r="O20" s="543"/>
      <c r="P20" s="544"/>
      <c r="Q20" s="544"/>
      <c r="R20" s="544"/>
      <c r="S20" s="544"/>
      <c r="T20" s="544"/>
      <c r="U20" s="544"/>
      <c r="V20" s="544"/>
      <c r="W20" s="544"/>
      <c r="X20" s="545"/>
    </row>
    <row r="21" spans="4:24" ht="16.2" customHeight="1" thickTop="1" thickBot="1" x14ac:dyDescent="0.35">
      <c r="E21" s="536"/>
      <c r="F21" s="537"/>
      <c r="G21" s="537"/>
      <c r="H21" s="537"/>
      <c r="I21" s="537"/>
      <c r="J21" s="537"/>
      <c r="K21" s="537"/>
      <c r="L21" s="537"/>
      <c r="M21" s="537"/>
      <c r="N21" s="538"/>
      <c r="O21" s="536"/>
      <c r="P21" s="537"/>
      <c r="Q21" s="537"/>
      <c r="R21" s="537"/>
      <c r="S21" s="537"/>
      <c r="T21" s="537"/>
      <c r="U21" s="537"/>
      <c r="V21" s="537"/>
      <c r="W21" s="537"/>
      <c r="X21" s="538"/>
    </row>
    <row r="22" spans="4:24" ht="16.2" customHeight="1" thickTop="1" thickBot="1" x14ac:dyDescent="0.35">
      <c r="E22" s="241"/>
      <c r="F22" s="242"/>
      <c r="G22" s="243"/>
      <c r="H22" s="244"/>
      <c r="I22" s="244"/>
      <c r="J22" s="244"/>
      <c r="K22" s="244"/>
      <c r="L22" s="244"/>
      <c r="M22" s="244"/>
      <c r="N22" s="244"/>
      <c r="O22" s="241"/>
      <c r="P22" s="242"/>
      <c r="Q22" s="243"/>
      <c r="R22" s="244"/>
      <c r="S22" s="244"/>
      <c r="T22" s="244"/>
      <c r="U22" s="244"/>
      <c r="V22" s="244"/>
      <c r="W22" s="244"/>
      <c r="X22" s="245"/>
    </row>
    <row r="23" spans="4:24" ht="16.2" customHeight="1" thickTop="1" thickBot="1" x14ac:dyDescent="0.35">
      <c r="E23" s="241"/>
      <c r="F23" s="242"/>
      <c r="G23" s="241"/>
      <c r="H23" s="250"/>
      <c r="I23" s="242"/>
      <c r="J23" s="241"/>
      <c r="K23" s="250"/>
      <c r="L23" s="242"/>
      <c r="M23" s="251"/>
      <c r="N23" s="252"/>
      <c r="O23" s="241"/>
      <c r="P23" s="242"/>
      <c r="Q23" s="241"/>
      <c r="R23" s="250"/>
      <c r="S23" s="242"/>
      <c r="T23" s="241"/>
      <c r="U23" s="250"/>
      <c r="V23" s="242"/>
      <c r="W23" s="251"/>
      <c r="X23" s="253"/>
    </row>
    <row r="24" spans="4:24" ht="16.2" customHeight="1" thickTop="1" thickBot="1" x14ac:dyDescent="0.35">
      <c r="E24" s="258"/>
      <c r="F24" s="259"/>
      <c r="G24" s="260"/>
      <c r="H24" s="260"/>
      <c r="I24" s="260"/>
      <c r="J24" s="260"/>
      <c r="K24" s="260"/>
      <c r="L24" s="260"/>
      <c r="M24" s="261"/>
      <c r="N24" s="261"/>
      <c r="O24" s="258"/>
      <c r="P24" s="259"/>
      <c r="Q24" s="260"/>
      <c r="R24" s="260"/>
      <c r="S24" s="260"/>
      <c r="T24" s="260"/>
      <c r="U24" s="260"/>
      <c r="V24" s="260"/>
      <c r="W24" s="261"/>
      <c r="X24" s="133"/>
    </row>
    <row r="25" spans="4:24" ht="16.2" customHeight="1" thickTop="1" thickBot="1" x14ac:dyDescent="0.35">
      <c r="E25" s="264"/>
      <c r="F25" s="264"/>
      <c r="G25" s="135"/>
      <c r="H25" s="135"/>
      <c r="I25" s="135"/>
      <c r="J25" s="135"/>
      <c r="K25" s="135"/>
      <c r="L25" s="135"/>
      <c r="M25" s="192"/>
      <c r="N25" s="192"/>
      <c r="O25" s="264"/>
      <c r="P25" s="264"/>
      <c r="Q25" s="135"/>
      <c r="R25" s="135"/>
      <c r="S25" s="135"/>
      <c r="T25" s="135"/>
      <c r="U25" s="135"/>
      <c r="V25" s="135"/>
      <c r="W25" s="192"/>
      <c r="X25" s="192"/>
    </row>
    <row r="26" spans="4:24" ht="16.2" customHeight="1" thickTop="1" thickBot="1" x14ac:dyDescent="0.35">
      <c r="E26" s="264"/>
      <c r="F26" s="264"/>
      <c r="G26" s="135"/>
      <c r="H26" s="135"/>
      <c r="I26" s="135"/>
      <c r="J26" s="135"/>
      <c r="K26" s="135"/>
      <c r="L26" s="135"/>
      <c r="M26" s="192"/>
      <c r="N26" s="192"/>
      <c r="O26" s="264"/>
      <c r="P26" s="264"/>
      <c r="Q26" s="135"/>
      <c r="R26" s="135"/>
      <c r="S26" s="135"/>
      <c r="T26" s="135"/>
      <c r="U26" s="135"/>
      <c r="V26" s="135"/>
      <c r="W26" s="192"/>
      <c r="X26" s="192"/>
    </row>
    <row r="27" spans="4:24" ht="16.2" customHeight="1" thickTop="1" thickBot="1" x14ac:dyDescent="0.35">
      <c r="D27" s="196" t="str">
        <f ca="1">"'"&amp;$A$1&amp;"'!"&amp;CELL("address",G27)&amp;":"&amp;CELL("address",OFFSET(G27,0,COUNT(REP.yearsrange)-1))</f>
        <v>'CONTENTS'!$G$27:$R$27</v>
      </c>
      <c r="E27" s="264"/>
      <c r="F27" s="264"/>
      <c r="G27" s="135"/>
      <c r="H27" s="135"/>
      <c r="I27" s="135"/>
      <c r="J27" s="135"/>
      <c r="K27" s="135"/>
      <c r="L27" s="135"/>
      <c r="M27" s="192"/>
      <c r="N27" s="192"/>
      <c r="O27" s="264"/>
      <c r="P27" s="264"/>
      <c r="Q27" s="135"/>
      <c r="R27" s="135"/>
      <c r="S27" s="135"/>
      <c r="T27" s="135"/>
      <c r="U27" s="135"/>
      <c r="V27" s="135"/>
      <c r="W27" s="192"/>
      <c r="X27" s="192"/>
    </row>
    <row r="28" spans="4:24" ht="16.2" customHeight="1" thickTop="1" thickBot="1" x14ac:dyDescent="0.35">
      <c r="D28" s="196" t="str">
        <f ca="1">"'"&amp;$A$1&amp;"'!"&amp;CELL("address",G28)&amp;":"&amp;CELL("address",OFFSET(G28,0,COUNT(REP.yearsrange)-1))</f>
        <v>'CONTENTS'!$G$28:$R$28</v>
      </c>
      <c r="E28" s="266"/>
      <c r="F28" s="267"/>
      <c r="G28" s="268"/>
      <c r="H28" s="268"/>
      <c r="I28" s="268"/>
      <c r="J28" s="268"/>
      <c r="K28" s="268"/>
      <c r="L28" s="268"/>
      <c r="M28" s="269"/>
      <c r="N28" s="269"/>
      <c r="O28" s="266"/>
      <c r="P28" s="267"/>
      <c r="Q28" s="268"/>
      <c r="R28" s="268"/>
      <c r="S28" s="268"/>
      <c r="T28" s="268"/>
      <c r="U28" s="268"/>
      <c r="V28" s="268"/>
      <c r="W28" s="269"/>
      <c r="X28" s="269"/>
    </row>
    <row r="29" spans="4:24" ht="16.2" customHeight="1" thickTop="1" thickBot="1" x14ac:dyDescent="0.35">
      <c r="D29" s="196" t="str">
        <f ca="1">"'"&amp;$A$1&amp;"'!"&amp;CELL("address",G29)&amp;":"&amp;CELL("address",OFFSET(G29,0,COUNT(REP.yearsrange)-1))</f>
        <v>'CONTENTS'!$G$29:$R$29</v>
      </c>
      <c r="E29" s="266"/>
      <c r="F29" s="267"/>
      <c r="G29" s="268"/>
      <c r="H29" s="268"/>
      <c r="I29" s="268"/>
      <c r="J29" s="268"/>
      <c r="K29" s="268"/>
      <c r="L29" s="268"/>
      <c r="M29" s="269"/>
      <c r="N29" s="269"/>
      <c r="O29" s="266"/>
      <c r="P29" s="267"/>
      <c r="Q29" s="268"/>
      <c r="R29" s="268"/>
      <c r="S29" s="268"/>
      <c r="T29" s="268"/>
      <c r="U29" s="268"/>
      <c r="V29" s="268"/>
      <c r="W29" s="269"/>
      <c r="X29" s="269"/>
    </row>
    <row r="30" spans="4:24" ht="16.2" customHeight="1" thickTop="1" thickBot="1" x14ac:dyDescent="0.35">
      <c r="D30" s="196" t="str">
        <f ca="1">"'"&amp;$A$1&amp;"'!"&amp;CELL("address",G30)&amp;":"&amp;CELL("address",OFFSET(G30,0,COUNT(REP.yearsrange)-1))</f>
        <v>'CONTENTS'!$G$30:$R$30</v>
      </c>
      <c r="E30" s="266"/>
      <c r="F30" s="267"/>
      <c r="G30" s="268"/>
      <c r="H30" s="268"/>
      <c r="I30" s="268"/>
      <c r="J30" s="268"/>
      <c r="K30" s="268"/>
      <c r="L30" s="268"/>
      <c r="M30" s="269"/>
      <c r="N30" s="269"/>
      <c r="O30" s="266"/>
      <c r="P30" s="267"/>
      <c r="Q30" s="268"/>
      <c r="R30" s="268"/>
      <c r="S30" s="268"/>
      <c r="T30" s="268"/>
      <c r="U30" s="268"/>
      <c r="V30" s="268"/>
      <c r="W30" s="269"/>
      <c r="X30" s="269"/>
    </row>
    <row r="31" spans="4:24" ht="16.2" customHeight="1" thickTop="1" thickBot="1" x14ac:dyDescent="0.35">
      <c r="D31" s="196" t="str">
        <f ca="1">"'"&amp;$A$1&amp;"'!"&amp;CELL("address",G31)&amp;":"&amp;CELL("address",OFFSET(G31,0,COUNT(REP.yearsrange)-1))</f>
        <v>'CONTENTS'!$G$31:$R$31</v>
      </c>
      <c r="E31" s="266"/>
      <c r="F31" s="267"/>
      <c r="G31" s="268"/>
      <c r="H31" s="268"/>
      <c r="I31" s="268"/>
      <c r="J31" s="268"/>
      <c r="K31" s="268"/>
      <c r="L31" s="268"/>
      <c r="M31" s="269"/>
      <c r="N31" s="269"/>
      <c r="O31" s="266"/>
      <c r="P31" s="267"/>
      <c r="Q31" s="268"/>
      <c r="R31" s="268"/>
      <c r="S31" s="268"/>
      <c r="T31" s="268"/>
      <c r="U31" s="268"/>
      <c r="V31" s="268"/>
      <c r="W31" s="269"/>
      <c r="X31" s="269"/>
    </row>
    <row r="32" spans="4:24" ht="16.2" customHeight="1" thickTop="1" thickBot="1" x14ac:dyDescent="0.35">
      <c r="D32" s="196" t="str">
        <f ca="1">"'"&amp;$A$1&amp;"'!"&amp;CELL("address",G32)&amp;":"&amp;CELL("address",OFFSET(G32,0,COUNT(REP.yearsrange)-1))</f>
        <v>'CONTENTS'!$G$32:$R$32</v>
      </c>
      <c r="E32" s="243"/>
      <c r="F32" s="245"/>
      <c r="G32" s="546"/>
      <c r="H32" s="546"/>
      <c r="I32" s="547"/>
      <c r="J32" s="547"/>
      <c r="K32" s="547"/>
      <c r="L32" s="547"/>
      <c r="M32" s="547"/>
      <c r="N32" s="547"/>
      <c r="O32" s="547"/>
      <c r="P32" s="547"/>
      <c r="Q32" s="547"/>
      <c r="R32" s="547"/>
      <c r="S32" s="268"/>
      <c r="T32" s="539"/>
      <c r="U32" s="539"/>
      <c r="V32" s="539"/>
      <c r="W32" s="539"/>
      <c r="X32" s="540"/>
    </row>
    <row r="33" spans="4:24" ht="16.2" customHeight="1" thickTop="1" thickBot="1" x14ac:dyDescent="0.35">
      <c r="D33" s="196"/>
      <c r="E33" s="548"/>
      <c r="F33" s="549"/>
      <c r="G33" s="135"/>
      <c r="H33" s="135"/>
      <c r="I33" s="135"/>
      <c r="J33" s="135"/>
      <c r="K33" s="135"/>
      <c r="L33" s="135"/>
      <c r="M33" s="135"/>
      <c r="N33" s="135"/>
      <c r="O33" s="135"/>
      <c r="P33" s="135"/>
      <c r="Q33" s="135"/>
      <c r="R33" s="135"/>
      <c r="S33" s="276"/>
      <c r="T33" s="541"/>
      <c r="U33" s="541"/>
      <c r="V33" s="541"/>
      <c r="W33" s="541"/>
      <c r="X33" s="542"/>
    </row>
    <row r="34" spans="4:24" ht="16.2" customHeight="1" thickTop="1" thickBot="1" x14ac:dyDescent="0.35">
      <c r="D34" s="196"/>
      <c r="E34" s="548"/>
      <c r="F34" s="549"/>
      <c r="G34" s="135"/>
      <c r="H34" s="135"/>
      <c r="I34" s="135"/>
      <c r="J34" s="135"/>
      <c r="K34" s="135"/>
      <c r="L34" s="135"/>
      <c r="M34" s="135"/>
      <c r="N34" s="135"/>
      <c r="O34" s="135"/>
      <c r="P34" s="135"/>
      <c r="Q34" s="135"/>
      <c r="R34" s="135"/>
      <c r="S34" s="276"/>
      <c r="T34" s="276"/>
      <c r="U34" s="276"/>
      <c r="V34" s="276"/>
      <c r="W34" s="277"/>
      <c r="X34" s="278"/>
    </row>
    <row r="35" spans="4:24" ht="16.2" customHeight="1" thickTop="1" thickBot="1" x14ac:dyDescent="0.35">
      <c r="D35" s="196"/>
      <c r="E35" s="548"/>
      <c r="F35" s="549"/>
      <c r="G35" s="135"/>
      <c r="H35" s="135"/>
      <c r="I35" s="135"/>
      <c r="J35" s="135"/>
      <c r="K35" s="135"/>
      <c r="L35" s="135"/>
      <c r="M35" s="135"/>
      <c r="N35" s="135"/>
      <c r="O35" s="135"/>
      <c r="P35" s="135"/>
      <c r="Q35" s="135"/>
      <c r="R35" s="135"/>
      <c r="S35" s="276"/>
      <c r="T35" s="276"/>
      <c r="U35" s="276"/>
      <c r="V35" s="276"/>
      <c r="W35" s="277"/>
      <c r="X35" s="278"/>
    </row>
    <row r="36" spans="4:24" ht="16.2" customHeight="1" thickTop="1" thickBot="1" x14ac:dyDescent="0.35">
      <c r="D36" s="196"/>
      <c r="E36" s="550"/>
      <c r="F36" s="551"/>
      <c r="G36" s="135"/>
      <c r="H36" s="135"/>
      <c r="I36" s="135"/>
      <c r="J36" s="135"/>
      <c r="K36" s="135"/>
      <c r="L36" s="135"/>
      <c r="M36" s="135"/>
      <c r="N36" s="135"/>
      <c r="O36" s="135"/>
      <c r="P36" s="135"/>
      <c r="Q36" s="135"/>
      <c r="R36" s="135"/>
      <c r="S36" s="276"/>
      <c r="T36" s="276"/>
      <c r="U36" s="276"/>
      <c r="V36" s="276"/>
      <c r="W36" s="277"/>
      <c r="X36" s="278"/>
    </row>
    <row r="37" spans="4:24" ht="16.2" customHeight="1" thickTop="1" thickBot="1" x14ac:dyDescent="0.35">
      <c r="D37" s="196"/>
      <c r="E37" s="444"/>
      <c r="F37" s="445"/>
      <c r="G37" s="446"/>
      <c r="H37" s="446"/>
      <c r="I37" s="446"/>
      <c r="J37" s="446"/>
      <c r="K37" s="446"/>
      <c r="L37" s="446"/>
      <c r="M37" s="446"/>
      <c r="N37" s="446"/>
      <c r="O37" s="446"/>
      <c r="P37" s="446"/>
      <c r="Q37" s="446"/>
      <c r="R37" s="446"/>
      <c r="S37" s="276"/>
      <c r="T37" s="276"/>
      <c r="U37" s="276"/>
      <c r="V37" s="276"/>
      <c r="W37" s="277"/>
      <c r="X37" s="278"/>
    </row>
    <row r="38" spans="4:24"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XFRYroi2eNiaeNIA22sOVvRqlm0AroK1hZi1F0Ml/44Ir4R+WoGRT7JxcudR52HIM1LwSi5drYmkpc+EBh+MQ==" saltValue="5rK9unzDUd7Ysxbvlr0AYw==" spinCount="100000" sheet="1" objects="1" scenarios="1"/>
  <mergeCells count="1">
    <mergeCell ref="T6:X7"/>
  </mergeCells>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Data" filterMode="1">
    <tabColor rgb="FFFFFF00"/>
  </sheetPr>
  <dimension ref="A1:U992"/>
  <sheetViews>
    <sheetView showGridLines="0" showRowColHeaders="0" topLeftCell="D1" zoomScale="68" zoomScaleNormal="68" workbookViewId="0">
      <pane ySplit="8" topLeftCell="A9" activePane="bottomLeft" state="frozen"/>
      <selection activeCell="M48" sqref="M48"/>
      <selection pane="bottomLeft" activeCell="G61" sqref="G61"/>
    </sheetView>
  </sheetViews>
  <sheetFormatPr defaultColWidth="0" defaultRowHeight="12.75" customHeight="1" x14ac:dyDescent="0.3"/>
  <cols>
    <col min="1" max="1" width="51.88671875" style="103" hidden="1" customWidth="1"/>
    <col min="2" max="2" width="8.5546875" style="103" hidden="1" customWidth="1"/>
    <col min="3" max="3" width="51.88671875" style="103" hidden="1" customWidth="1"/>
    <col min="4" max="4" width="8.5546875" style="103" customWidth="1"/>
    <col min="5" max="5" width="31.33203125" style="103" customWidth="1"/>
    <col min="6" max="7" width="30.44140625" style="103" customWidth="1"/>
    <col min="8" max="20" width="12.33203125" style="103" customWidth="1"/>
    <col min="21" max="21" width="15.44140625" style="103" customWidth="1"/>
    <col min="22" max="16384" width="18.6640625" style="530" hidden="1"/>
  </cols>
  <sheetData>
    <row r="1" spans="1:21" s="527" customFormat="1" ht="14.4" customHeight="1" x14ac:dyDescent="0.3">
      <c r="A1" s="176"/>
      <c r="B1" s="176"/>
      <c r="C1" s="176"/>
      <c r="D1" s="175" t="str">
        <f>REP.gts</f>
        <v>Global Tourism Solutions (UK) Ltd</v>
      </c>
      <c r="E1" s="176"/>
      <c r="F1" s="176"/>
      <c r="G1" s="176"/>
      <c r="H1" s="176"/>
      <c r="I1" s="176"/>
      <c r="J1" s="176"/>
      <c r="K1" s="176"/>
      <c r="L1" s="176"/>
      <c r="M1" s="176"/>
      <c r="N1" s="176"/>
      <c r="O1" s="176"/>
      <c r="P1" s="176"/>
      <c r="Q1" s="176"/>
      <c r="R1" s="176"/>
      <c r="S1" s="176"/>
      <c r="T1" s="176"/>
      <c r="U1" s="177"/>
    </row>
    <row r="2" spans="1:21" s="528" customFormat="1" ht="14.4" customHeight="1" x14ac:dyDescent="0.3">
      <c r="A2" s="178"/>
      <c r="B2" s="178"/>
      <c r="C2" s="178"/>
      <c r="D2" s="100" t="str">
        <f>REP.product&amp;" - "&amp;REP.authority&amp;IF(ISBLANK(REP.subzone)," - "," - "&amp;REP.subzone&amp;" - ")&amp;MIN(REP.yearsrange)&amp;" to "&amp;MAX(REP.yearsrange)</f>
        <v>STEAM - NORTH WALES - 2011 to 2022</v>
      </c>
      <c r="E2" s="178"/>
      <c r="F2" s="178"/>
      <c r="G2" s="178"/>
      <c r="H2" s="178"/>
      <c r="I2" s="178"/>
      <c r="J2" s="178"/>
      <c r="K2" s="178"/>
      <c r="L2" s="178"/>
      <c r="M2" s="178"/>
      <c r="N2" s="178"/>
      <c r="O2" s="178"/>
      <c r="P2" s="178"/>
      <c r="Q2" s="178"/>
      <c r="R2" s="178"/>
      <c r="S2" s="178"/>
      <c r="T2" s="178"/>
      <c r="U2" s="179"/>
    </row>
    <row r="3" spans="1:21" s="528" customFormat="1" ht="14.4" customHeight="1" x14ac:dyDescent="0.3">
      <c r="A3" s="178"/>
      <c r="B3" s="178"/>
      <c r="C3" s="178"/>
      <c r="D3" s="101" t="str">
        <f ca="1">MID(CELL("filename",A1),FIND("]",CELL("filename",A1))+1,255)</f>
        <v>DATA</v>
      </c>
      <c r="E3" s="178"/>
      <c r="F3" s="178"/>
      <c r="G3" s="178"/>
      <c r="H3" s="178"/>
      <c r="I3" s="178"/>
      <c r="J3" s="178"/>
      <c r="K3" s="178"/>
      <c r="L3" s="178"/>
      <c r="M3" s="178"/>
      <c r="N3" s="178"/>
      <c r="O3" s="178"/>
      <c r="P3" s="178"/>
      <c r="Q3" s="178"/>
      <c r="R3" s="178"/>
      <c r="S3" s="178"/>
      <c r="T3" s="178"/>
      <c r="U3" s="179"/>
    </row>
    <row r="4" spans="1:21" s="528" customFormat="1" ht="14.4" customHeight="1" x14ac:dyDescent="0.3">
      <c r="A4" s="178"/>
      <c r="B4" s="178"/>
      <c r="C4" s="178"/>
      <c r="D4" s="101"/>
      <c r="E4" s="178"/>
      <c r="F4" s="178"/>
      <c r="G4" s="178"/>
      <c r="H4" s="178"/>
      <c r="I4" s="178"/>
      <c r="J4" s="178"/>
      <c r="K4" s="178"/>
      <c r="L4" s="178"/>
      <c r="M4" s="178"/>
      <c r="N4" s="178"/>
      <c r="O4" s="178"/>
      <c r="P4" s="178"/>
      <c r="Q4" s="178"/>
      <c r="R4" s="178"/>
      <c r="S4" s="178"/>
      <c r="T4" s="178"/>
      <c r="U4" s="179"/>
    </row>
    <row r="5" spans="1:21" s="527" customFormat="1" ht="14.4" customHeight="1" x14ac:dyDescent="0.3">
      <c r="A5" s="176"/>
      <c r="B5" s="176"/>
      <c r="C5" s="176"/>
      <c r="D5" s="101" t="str">
        <f>REP.footer1</f>
        <v>This report is copyright © Global Tourism Solutions (UK) Ltd 2023</v>
      </c>
      <c r="E5" s="176"/>
      <c r="F5" s="176"/>
      <c r="G5" s="176"/>
      <c r="H5" s="176"/>
      <c r="I5" s="176"/>
      <c r="J5" s="176"/>
      <c r="K5" s="176"/>
      <c r="L5" s="176"/>
      <c r="M5" s="176"/>
      <c r="N5" s="176"/>
      <c r="O5" s="176"/>
      <c r="P5" s="176"/>
      <c r="Q5" s="176"/>
      <c r="R5" s="176"/>
      <c r="S5" s="176"/>
      <c r="T5" s="176"/>
      <c r="U5" s="177"/>
    </row>
    <row r="6" spans="1:21" s="527" customFormat="1" ht="14.4" customHeight="1" x14ac:dyDescent="0.3">
      <c r="A6" s="176"/>
      <c r="B6" s="176"/>
      <c r="C6" s="176"/>
      <c r="D6" s="102" t="str">
        <f>REP.footer2</f>
        <v>Report Prepared by: Cathy James. Date of Issue: 05/09/23</v>
      </c>
      <c r="E6" s="176"/>
      <c r="F6" s="176"/>
      <c r="G6" s="176"/>
      <c r="H6" s="176"/>
      <c r="I6" s="176"/>
      <c r="J6" s="176"/>
      <c r="K6" s="176"/>
      <c r="L6" s="176"/>
      <c r="M6" s="176"/>
      <c r="N6" s="176"/>
      <c r="O6" s="176"/>
      <c r="P6" s="176"/>
      <c r="Q6" s="176"/>
      <c r="R6" s="176"/>
      <c r="S6" s="176"/>
      <c r="T6" s="176"/>
      <c r="U6" s="177"/>
    </row>
    <row r="7" spans="1:21" s="527" customFormat="1" ht="4.95" hidden="1" customHeight="1" x14ac:dyDescent="0.3">
      <c r="A7" s="176">
        <v>-1</v>
      </c>
      <c r="B7" s="176">
        <v>0</v>
      </c>
      <c r="C7" s="176">
        <v>1</v>
      </c>
      <c r="D7" s="102">
        <v>2</v>
      </c>
      <c r="E7" s="176">
        <v>3</v>
      </c>
      <c r="F7" s="176">
        <v>4</v>
      </c>
      <c r="G7" s="176">
        <v>5</v>
      </c>
      <c r="H7" s="176">
        <v>6</v>
      </c>
      <c r="I7" s="176">
        <v>7</v>
      </c>
      <c r="J7" s="176">
        <v>8</v>
      </c>
      <c r="K7" s="176">
        <v>9</v>
      </c>
      <c r="L7" s="176">
        <v>10</v>
      </c>
      <c r="M7" s="176">
        <v>11</v>
      </c>
      <c r="N7" s="176">
        <v>12</v>
      </c>
      <c r="O7" s="176">
        <v>13</v>
      </c>
      <c r="P7" s="176">
        <v>14</v>
      </c>
      <c r="Q7" s="176">
        <v>15</v>
      </c>
      <c r="R7" s="176">
        <v>16</v>
      </c>
      <c r="S7" s="176">
        <v>17</v>
      </c>
      <c r="T7" s="176">
        <v>18</v>
      </c>
      <c r="U7" s="177">
        <v>19</v>
      </c>
    </row>
    <row r="8" spans="1:21" s="529" customFormat="1" ht="15.6" x14ac:dyDescent="0.3">
      <c r="A8" s="180" t="s">
        <v>136</v>
      </c>
      <c r="B8" s="180" t="s">
        <v>137</v>
      </c>
      <c r="C8" s="180" t="s">
        <v>39</v>
      </c>
      <c r="D8" s="180" t="s">
        <v>15</v>
      </c>
      <c r="E8" s="180" t="s">
        <v>24</v>
      </c>
      <c r="F8" s="180" t="s">
        <v>25</v>
      </c>
      <c r="G8" s="180" t="s">
        <v>25</v>
      </c>
      <c r="H8" s="180" t="s">
        <v>26</v>
      </c>
      <c r="I8" s="180" t="s">
        <v>27</v>
      </c>
      <c r="J8" s="180" t="s">
        <v>28</v>
      </c>
      <c r="K8" s="180" t="s">
        <v>29</v>
      </c>
      <c r="L8" s="180" t="s">
        <v>30</v>
      </c>
      <c r="M8" s="180" t="s">
        <v>31</v>
      </c>
      <c r="N8" s="180" t="s">
        <v>32</v>
      </c>
      <c r="O8" s="180" t="s">
        <v>33</v>
      </c>
      <c r="P8" s="180" t="s">
        <v>34</v>
      </c>
      <c r="Q8" s="180" t="s">
        <v>35</v>
      </c>
      <c r="R8" s="180" t="s">
        <v>36</v>
      </c>
      <c r="S8" s="180" t="s">
        <v>37</v>
      </c>
      <c r="T8" s="180" t="s">
        <v>38</v>
      </c>
      <c r="U8" s="180" t="s">
        <v>56</v>
      </c>
    </row>
    <row r="9" spans="1:21" ht="13.8" x14ac:dyDescent="0.3">
      <c r="A9" s="530" t="str">
        <f t="shared" ref="A9:A72" si="0">B9&amp;"."&amp;D9&amp;"."&amp;E9&amp;"."&amp;F9</f>
        <v>North Wales.2011.Economic Impact.Indirect Expenditure</v>
      </c>
      <c r="B9" s="530" t="s">
        <v>220</v>
      </c>
      <c r="C9" s="530" t="str">
        <f t="shared" ref="C9:C72" si="1">D9&amp;"."&amp;E9&amp;"."&amp;F9</f>
        <v>2011.Economic Impact.Indirect Expenditure</v>
      </c>
      <c r="D9" s="530" t="s">
        <v>219</v>
      </c>
      <c r="E9" s="662" t="s">
        <v>17</v>
      </c>
      <c r="F9" s="662" t="s">
        <v>45</v>
      </c>
      <c r="G9" s="662" t="s">
        <v>45</v>
      </c>
      <c r="H9" s="530">
        <v>14979.848210725766</v>
      </c>
      <c r="I9" s="530">
        <v>17985.868192774986</v>
      </c>
      <c r="J9" s="530">
        <v>27199.851142568175</v>
      </c>
      <c r="K9" s="530">
        <v>66012.520741006636</v>
      </c>
      <c r="L9" s="530">
        <v>65051.038305320326</v>
      </c>
      <c r="M9" s="530">
        <v>70844.154635596569</v>
      </c>
      <c r="N9" s="530">
        <v>92570.462900179482</v>
      </c>
      <c r="O9" s="530">
        <v>102271.94961518975</v>
      </c>
      <c r="P9" s="530">
        <v>69031.76314236359</v>
      </c>
      <c r="Q9" s="530">
        <v>47142.951004077775</v>
      </c>
      <c r="R9" s="530">
        <v>21096.363595085142</v>
      </c>
      <c r="S9" s="530">
        <v>16610.218260456142</v>
      </c>
      <c r="T9" s="530">
        <v>610796.98974534438</v>
      </c>
      <c r="U9" s="530" t="s">
        <v>57</v>
      </c>
    </row>
    <row r="10" spans="1:21" ht="13.8" x14ac:dyDescent="0.3">
      <c r="A10" s="530" t="str">
        <f t="shared" si="0"/>
        <v>North Wales.2011.Economic Impact.Direct Revenue</v>
      </c>
      <c r="B10" s="530" t="s">
        <v>220</v>
      </c>
      <c r="C10" s="530" t="str">
        <f t="shared" si="1"/>
        <v>2011.Economic Impact.Direct Revenue</v>
      </c>
      <c r="D10" s="530" t="s">
        <v>219</v>
      </c>
      <c r="E10" s="662" t="s">
        <v>17</v>
      </c>
      <c r="F10" s="662" t="s">
        <v>46</v>
      </c>
      <c r="G10" s="662" t="s">
        <v>46</v>
      </c>
      <c r="H10" s="530">
        <v>37799.313367921866</v>
      </c>
      <c r="I10" s="530">
        <v>44848.690612214967</v>
      </c>
      <c r="J10" s="530">
        <v>68803.260081818938</v>
      </c>
      <c r="K10" s="530">
        <v>164263.31558247947</v>
      </c>
      <c r="L10" s="530">
        <v>161235.95334352553</v>
      </c>
      <c r="M10" s="530">
        <v>175858.15508844075</v>
      </c>
      <c r="N10" s="530">
        <v>230432.91058458167</v>
      </c>
      <c r="O10" s="530">
        <v>254325.67893981587</v>
      </c>
      <c r="P10" s="530">
        <v>173189.67646638694</v>
      </c>
      <c r="Q10" s="530">
        <v>119030.72640294346</v>
      </c>
      <c r="R10" s="530">
        <v>53568.708799964821</v>
      </c>
      <c r="S10" s="530">
        <v>42252.39481495502</v>
      </c>
      <c r="T10" s="530">
        <v>1525608.7840850493</v>
      </c>
      <c r="U10" s="530" t="s">
        <v>57</v>
      </c>
    </row>
    <row r="11" spans="1:21" ht="13.8" x14ac:dyDescent="0.3">
      <c r="A11" s="530" t="str">
        <f t="shared" si="0"/>
        <v>North Wales.2011.Economic Impact.VAT</v>
      </c>
      <c r="B11" s="530" t="s">
        <v>220</v>
      </c>
      <c r="C11" s="530" t="str">
        <f t="shared" si="1"/>
        <v>2011.Economic Impact.VAT</v>
      </c>
      <c r="D11" s="530" t="s">
        <v>219</v>
      </c>
      <c r="E11" s="662" t="s">
        <v>17</v>
      </c>
      <c r="F11" s="662" t="s">
        <v>47</v>
      </c>
      <c r="G11" s="662" t="s">
        <v>47</v>
      </c>
      <c r="H11" s="530">
        <v>7559.8626735843736</v>
      </c>
      <c r="I11" s="530">
        <v>8969.7381224429919</v>
      </c>
      <c r="J11" s="530">
        <v>13760.652016363789</v>
      </c>
      <c r="K11" s="530">
        <v>32852.663116495889</v>
      </c>
      <c r="L11" s="530">
        <v>32247.190668705109</v>
      </c>
      <c r="M11" s="530">
        <v>35171.631017688167</v>
      </c>
      <c r="N11" s="530">
        <v>46086.582116916332</v>
      </c>
      <c r="O11" s="530">
        <v>50865.135787963183</v>
      </c>
      <c r="P11" s="530">
        <v>34637.935293277391</v>
      </c>
      <c r="Q11" s="530">
        <v>23806.145280588695</v>
      </c>
      <c r="R11" s="530">
        <v>10713.741759992965</v>
      </c>
      <c r="S11" s="530">
        <v>8450.4789629910047</v>
      </c>
      <c r="T11" s="530">
        <v>305121.75681700988</v>
      </c>
      <c r="U11" s="530" t="s">
        <v>57</v>
      </c>
    </row>
    <row r="12" spans="1:21" ht="13.8" x14ac:dyDescent="0.3">
      <c r="A12" s="530" t="str">
        <f t="shared" si="0"/>
        <v>North Wales.2011.Economic Impact.Serviced Accommodation</v>
      </c>
      <c r="B12" s="530" t="s">
        <v>220</v>
      </c>
      <c r="C12" s="530" t="str">
        <f t="shared" si="1"/>
        <v>2011.Economic Impact.Serviced Accommodation</v>
      </c>
      <c r="D12" s="530" t="s">
        <v>219</v>
      </c>
      <c r="E12" s="662" t="s">
        <v>17</v>
      </c>
      <c r="F12" s="662" t="s">
        <v>43</v>
      </c>
      <c r="G12" s="662" t="s">
        <v>43</v>
      </c>
      <c r="H12" s="530">
        <v>13031.930016042154</v>
      </c>
      <c r="I12" s="530">
        <v>18143.139793818202</v>
      </c>
      <c r="J12" s="530">
        <v>22530.108638971727</v>
      </c>
      <c r="K12" s="530">
        <v>33129.904515572838</v>
      </c>
      <c r="L12" s="530">
        <v>35128.632274057047</v>
      </c>
      <c r="M12" s="530">
        <v>37091.899306345564</v>
      </c>
      <c r="N12" s="530">
        <v>59794.0162518047</v>
      </c>
      <c r="O12" s="530">
        <v>66754.836187409426</v>
      </c>
      <c r="P12" s="530">
        <v>52864.830817741306</v>
      </c>
      <c r="Q12" s="530">
        <v>36534.717048815852</v>
      </c>
      <c r="R12" s="530">
        <v>23066.230927697274</v>
      </c>
      <c r="S12" s="530">
        <v>17354.020365985223</v>
      </c>
      <c r="T12" s="530">
        <v>415424.26614426135</v>
      </c>
      <c r="U12" s="530" t="s">
        <v>57</v>
      </c>
    </row>
    <row r="13" spans="1:21" ht="13.8" x14ac:dyDescent="0.3">
      <c r="A13" s="530" t="str">
        <f t="shared" si="0"/>
        <v>North Wales.2011.Economic Impact.Non-Serviced Accommodation</v>
      </c>
      <c r="B13" s="530" t="s">
        <v>220</v>
      </c>
      <c r="C13" s="530" t="str">
        <f t="shared" si="1"/>
        <v>2011.Economic Impact.Non-Serviced Accommodation</v>
      </c>
      <c r="D13" s="530" t="s">
        <v>219</v>
      </c>
      <c r="E13" s="662" t="s">
        <v>17</v>
      </c>
      <c r="F13" s="662" t="s">
        <v>48</v>
      </c>
      <c r="G13" s="662" t="s">
        <v>48</v>
      </c>
      <c r="H13" s="530">
        <v>17763.766013878532</v>
      </c>
      <c r="I13" s="530">
        <v>23377.021458651045</v>
      </c>
      <c r="J13" s="530">
        <v>48921.372485708365</v>
      </c>
      <c r="K13" s="530">
        <v>143434.24326361617</v>
      </c>
      <c r="L13" s="530">
        <v>155298.91051807479</v>
      </c>
      <c r="M13" s="530">
        <v>164841.88362463744</v>
      </c>
      <c r="N13" s="530">
        <v>212492.28290709466</v>
      </c>
      <c r="O13" s="530">
        <v>223296.83276278319</v>
      </c>
      <c r="P13" s="530">
        <v>161926.08231039782</v>
      </c>
      <c r="Q13" s="530">
        <v>98823.695786773606</v>
      </c>
      <c r="R13" s="530">
        <v>34477.312190011093</v>
      </c>
      <c r="S13" s="530">
        <v>22418.67634889363</v>
      </c>
      <c r="T13" s="530">
        <v>1307072.0796705205</v>
      </c>
      <c r="U13" s="530" t="s">
        <v>57</v>
      </c>
    </row>
    <row r="14" spans="1:21" ht="13.8" x14ac:dyDescent="0.3">
      <c r="A14" s="530" t="str">
        <f t="shared" si="0"/>
        <v>North Wales.2011.Economic Impact.SFR</v>
      </c>
      <c r="B14" s="530" t="s">
        <v>220</v>
      </c>
      <c r="C14" s="530" t="str">
        <f t="shared" si="1"/>
        <v>2011.Economic Impact.SFR</v>
      </c>
      <c r="D14" s="530" t="s">
        <v>219</v>
      </c>
      <c r="E14" s="662" t="s">
        <v>17</v>
      </c>
      <c r="F14" s="662" t="s">
        <v>18</v>
      </c>
      <c r="G14" s="662" t="s">
        <v>18</v>
      </c>
      <c r="H14" s="530">
        <v>11687.563896075641</v>
      </c>
      <c r="I14" s="530">
        <v>3927.0214690814146</v>
      </c>
      <c r="J14" s="530">
        <v>4467.2466447222441</v>
      </c>
      <c r="K14" s="530">
        <v>10659.058273220984</v>
      </c>
      <c r="L14" s="530">
        <v>6856.7041523643747</v>
      </c>
      <c r="M14" s="530">
        <v>5281.8438759145029</v>
      </c>
      <c r="N14" s="530">
        <v>8570.8801904554693</v>
      </c>
      <c r="O14" s="530">
        <v>9073.0818248877331</v>
      </c>
      <c r="P14" s="530">
        <v>4673.3737160662777</v>
      </c>
      <c r="Q14" s="530">
        <v>4668.7921910190162</v>
      </c>
      <c r="R14" s="530">
        <v>3637.9490553851438</v>
      </c>
      <c r="S14" s="530">
        <v>10534.390924996178</v>
      </c>
      <c r="T14" s="530">
        <v>84037.906214188974</v>
      </c>
      <c r="U14" s="530" t="s">
        <v>57</v>
      </c>
    </row>
    <row r="15" spans="1:21" ht="13.8" x14ac:dyDescent="0.3">
      <c r="A15" s="530" t="str">
        <f t="shared" si="0"/>
        <v>North Wales.2011.Economic Impact.Day Visitor</v>
      </c>
      <c r="B15" s="530" t="s">
        <v>220</v>
      </c>
      <c r="C15" s="530" t="str">
        <f t="shared" si="1"/>
        <v>2011.Economic Impact.Day Visitor</v>
      </c>
      <c r="D15" s="530" t="s">
        <v>219</v>
      </c>
      <c r="E15" s="662" t="s">
        <v>17</v>
      </c>
      <c r="F15" s="662" t="s">
        <v>71</v>
      </c>
      <c r="G15" s="662" t="s">
        <v>71</v>
      </c>
      <c r="H15" s="530">
        <v>17855.76432623568</v>
      </c>
      <c r="I15" s="530">
        <v>26357.114205882273</v>
      </c>
      <c r="J15" s="530">
        <v>33845.035471348558</v>
      </c>
      <c r="K15" s="530">
        <v>75905.29338757199</v>
      </c>
      <c r="L15" s="530">
        <v>61249.935373054723</v>
      </c>
      <c r="M15" s="530">
        <v>74658.313934828009</v>
      </c>
      <c r="N15" s="530">
        <v>88232.776252322612</v>
      </c>
      <c r="O15" s="530">
        <v>108338.01356788848</v>
      </c>
      <c r="P15" s="530">
        <v>57395.088057822475</v>
      </c>
      <c r="Q15" s="530">
        <v>49952.617661001445</v>
      </c>
      <c r="R15" s="530">
        <v>24197.321981949412</v>
      </c>
      <c r="S15" s="530">
        <v>17006.004398527122</v>
      </c>
      <c r="T15" s="530">
        <v>634993.27861843281</v>
      </c>
      <c r="U15" s="530" t="s">
        <v>57</v>
      </c>
    </row>
    <row r="16" spans="1:21" ht="13.8" x14ac:dyDescent="0.3">
      <c r="A16" s="530" t="str">
        <f t="shared" si="0"/>
        <v>North Wales.2011.Economic Impact.Accommodation</v>
      </c>
      <c r="B16" s="530" t="s">
        <v>220</v>
      </c>
      <c r="C16" s="530" t="str">
        <f t="shared" si="1"/>
        <v>2011.Economic Impact.Accommodation</v>
      </c>
      <c r="D16" s="530" t="s">
        <v>219</v>
      </c>
      <c r="E16" s="662" t="s">
        <v>17</v>
      </c>
      <c r="F16" s="662" t="s">
        <v>23</v>
      </c>
      <c r="G16" s="662" t="s">
        <v>23</v>
      </c>
      <c r="H16" s="530">
        <v>6784.1023509639645</v>
      </c>
      <c r="I16" s="530">
        <v>9430.1968245152202</v>
      </c>
      <c r="J16" s="530">
        <v>13226.114036649287</v>
      </c>
      <c r="K16" s="530">
        <v>23157.024597233009</v>
      </c>
      <c r="L16" s="530">
        <v>24784.175373593349</v>
      </c>
      <c r="M16" s="530">
        <v>25968.855048150395</v>
      </c>
      <c r="N16" s="530">
        <v>49811.602595503296</v>
      </c>
      <c r="O16" s="530">
        <v>54399.976273933105</v>
      </c>
      <c r="P16" s="530">
        <v>42195.134139857117</v>
      </c>
      <c r="Q16" s="530">
        <v>21049.418423082065</v>
      </c>
      <c r="R16" s="530">
        <v>12151.782583360538</v>
      </c>
      <c r="S16" s="530">
        <v>9055.1583168655343</v>
      </c>
      <c r="T16" s="530">
        <v>292013.54056370689</v>
      </c>
      <c r="U16" s="530" t="s">
        <v>57</v>
      </c>
    </row>
    <row r="17" spans="1:21" ht="13.8" x14ac:dyDescent="0.3">
      <c r="A17" s="530" t="str">
        <f t="shared" si="0"/>
        <v>North Wales.2011.Economic Impact.Food &amp; Drink</v>
      </c>
      <c r="B17" s="530" t="s">
        <v>220</v>
      </c>
      <c r="C17" s="530" t="str">
        <f t="shared" si="1"/>
        <v>2011.Economic Impact.Food &amp; Drink</v>
      </c>
      <c r="D17" s="530" t="s">
        <v>219</v>
      </c>
      <c r="E17" s="662" t="s">
        <v>17</v>
      </c>
      <c r="F17" s="662" t="s">
        <v>49</v>
      </c>
      <c r="G17" s="662" t="s">
        <v>49</v>
      </c>
      <c r="H17" s="530">
        <v>10385.367428738475</v>
      </c>
      <c r="I17" s="530">
        <v>10833.693766025599</v>
      </c>
      <c r="J17" s="530">
        <v>18082.653868401412</v>
      </c>
      <c r="K17" s="530">
        <v>43595.279537006085</v>
      </c>
      <c r="L17" s="530">
        <v>43118.616631922632</v>
      </c>
      <c r="M17" s="530">
        <v>46401.385100469022</v>
      </c>
      <c r="N17" s="530">
        <v>57082.426403475823</v>
      </c>
      <c r="O17" s="530">
        <v>62540.977147056561</v>
      </c>
      <c r="P17" s="530">
        <v>41376.377211838713</v>
      </c>
      <c r="Q17" s="530">
        <v>31573.680120913246</v>
      </c>
      <c r="R17" s="530">
        <v>13429.88501121009</v>
      </c>
      <c r="S17" s="530">
        <v>11040.707319223551</v>
      </c>
      <c r="T17" s="530">
        <v>389461.04954628123</v>
      </c>
      <c r="U17" s="530" t="s">
        <v>57</v>
      </c>
    </row>
    <row r="18" spans="1:21" ht="13.8" x14ac:dyDescent="0.3">
      <c r="A18" s="530" t="str">
        <f t="shared" si="0"/>
        <v>North Wales.2011.Economic Impact.Recreation</v>
      </c>
      <c r="B18" s="530" t="s">
        <v>220</v>
      </c>
      <c r="C18" s="530" t="str">
        <f t="shared" si="1"/>
        <v>2011.Economic Impact.Recreation</v>
      </c>
      <c r="D18" s="530" t="s">
        <v>219</v>
      </c>
      <c r="E18" s="662" t="s">
        <v>17</v>
      </c>
      <c r="F18" s="662" t="s">
        <v>50</v>
      </c>
      <c r="G18" s="662" t="s">
        <v>50</v>
      </c>
      <c r="H18" s="530">
        <v>2961.1450721335477</v>
      </c>
      <c r="I18" s="530">
        <v>3483.5649968947314</v>
      </c>
      <c r="J18" s="530">
        <v>5518.800004934239</v>
      </c>
      <c r="K18" s="530">
        <v>16481.780981261978</v>
      </c>
      <c r="L18" s="530">
        <v>15661.228848110162</v>
      </c>
      <c r="M18" s="530">
        <v>17743.471891823552</v>
      </c>
      <c r="N18" s="530">
        <v>20677.464392564478</v>
      </c>
      <c r="O18" s="530">
        <v>22318.264240668985</v>
      </c>
      <c r="P18" s="530">
        <v>15545.324753460522</v>
      </c>
      <c r="Q18" s="530">
        <v>10670.944900759365</v>
      </c>
      <c r="R18" s="530">
        <v>4331.5671973036842</v>
      </c>
      <c r="S18" s="530">
        <v>3319.5861697156047</v>
      </c>
      <c r="T18" s="530">
        <v>138713.14344963085</v>
      </c>
      <c r="U18" s="530" t="s">
        <v>57</v>
      </c>
    </row>
    <row r="19" spans="1:21" ht="13.8" x14ac:dyDescent="0.3">
      <c r="A19" s="530" t="str">
        <f t="shared" si="0"/>
        <v>North Wales.2011.Economic Impact.Shopping</v>
      </c>
      <c r="B19" s="530" t="s">
        <v>220</v>
      </c>
      <c r="C19" s="530" t="str">
        <f t="shared" si="1"/>
        <v>2011.Economic Impact.Shopping</v>
      </c>
      <c r="D19" s="530" t="s">
        <v>219</v>
      </c>
      <c r="E19" s="662" t="s">
        <v>17</v>
      </c>
      <c r="F19" s="662" t="s">
        <v>51</v>
      </c>
      <c r="G19" s="662" t="s">
        <v>51</v>
      </c>
      <c r="H19" s="530">
        <v>13597.071836640534</v>
      </c>
      <c r="I19" s="530">
        <v>16265.33793361254</v>
      </c>
      <c r="J19" s="530">
        <v>24199.314668572319</v>
      </c>
      <c r="K19" s="530">
        <v>60118.249220151716</v>
      </c>
      <c r="L19" s="530">
        <v>57312.37696173029</v>
      </c>
      <c r="M19" s="530">
        <v>63270.904001220442</v>
      </c>
      <c r="N19" s="530">
        <v>76113.758411102986</v>
      </c>
      <c r="O19" s="530">
        <v>85709.312487797346</v>
      </c>
      <c r="P19" s="530">
        <v>54372.475258306826</v>
      </c>
      <c r="Q19" s="530">
        <v>41445.064408941638</v>
      </c>
      <c r="R19" s="530">
        <v>17888.658574294332</v>
      </c>
      <c r="S19" s="530">
        <v>14370.377558064902</v>
      </c>
      <c r="T19" s="530">
        <v>524662.90132043592</v>
      </c>
      <c r="U19" s="530" t="s">
        <v>57</v>
      </c>
    </row>
    <row r="20" spans="1:21" ht="13.8" x14ac:dyDescent="0.3">
      <c r="A20" s="530" t="str">
        <f t="shared" si="0"/>
        <v>North Wales.2011.Economic Impact.Transport</v>
      </c>
      <c r="B20" s="530" t="s">
        <v>220</v>
      </c>
      <c r="C20" s="530" t="str">
        <f t="shared" si="1"/>
        <v>2011.Economic Impact.Transport</v>
      </c>
      <c r="D20" s="530" t="s">
        <v>219</v>
      </c>
      <c r="E20" s="662" t="s">
        <v>17</v>
      </c>
      <c r="F20" s="662" t="s">
        <v>52</v>
      </c>
      <c r="G20" s="662" t="s">
        <v>52</v>
      </c>
      <c r="H20" s="530">
        <v>4071.6266794453468</v>
      </c>
      <c r="I20" s="530">
        <v>4835.8970911668703</v>
      </c>
      <c r="J20" s="530">
        <v>7776.3775032616804</v>
      </c>
      <c r="K20" s="530">
        <v>20910.981246826675</v>
      </c>
      <c r="L20" s="530">
        <v>20359.555528169098</v>
      </c>
      <c r="M20" s="530">
        <v>22473.539046777394</v>
      </c>
      <c r="N20" s="530">
        <v>26747.658781935075</v>
      </c>
      <c r="O20" s="530">
        <v>29357.148790359912</v>
      </c>
      <c r="P20" s="530">
        <v>19700.365102923759</v>
      </c>
      <c r="Q20" s="530">
        <v>14291.618549247145</v>
      </c>
      <c r="R20" s="530">
        <v>5766.8154337961796</v>
      </c>
      <c r="S20" s="530">
        <v>4466.565451085422</v>
      </c>
      <c r="T20" s="530">
        <v>180758.14920499458</v>
      </c>
      <c r="U20" s="530" t="s">
        <v>57</v>
      </c>
    </row>
    <row r="21" spans="1:21" ht="13.8" x14ac:dyDescent="0.3">
      <c r="A21" s="530" t="str">
        <f t="shared" si="0"/>
        <v>North Wales.2011.Economic Impact.Direct Expenditure</v>
      </c>
      <c r="B21" s="530" t="s">
        <v>220</v>
      </c>
      <c r="C21" s="530" t="str">
        <f t="shared" si="1"/>
        <v>2011.Economic Impact.Direct Expenditure</v>
      </c>
      <c r="D21" s="530" t="s">
        <v>219</v>
      </c>
      <c r="E21" s="662" t="s">
        <v>17</v>
      </c>
      <c r="F21" s="662" t="s">
        <v>44</v>
      </c>
      <c r="G21" s="662" t="s">
        <v>44</v>
      </c>
      <c r="H21" s="530">
        <v>45359.176041506238</v>
      </c>
      <c r="I21" s="530">
        <v>53818.428734657944</v>
      </c>
      <c r="J21" s="530">
        <v>82563.912098182715</v>
      </c>
      <c r="K21" s="530">
        <v>197115.97869897532</v>
      </c>
      <c r="L21" s="530">
        <v>193483.14401223062</v>
      </c>
      <c r="M21" s="530">
        <v>211029.78610612894</v>
      </c>
      <c r="N21" s="530">
        <v>276519.49270149798</v>
      </c>
      <c r="O21" s="530">
        <v>305190.81472777907</v>
      </c>
      <c r="P21" s="530">
        <v>207827.61175966432</v>
      </c>
      <c r="Q21" s="530">
        <v>142836.87168353217</v>
      </c>
      <c r="R21" s="530">
        <v>64282.450559957768</v>
      </c>
      <c r="S21" s="530">
        <v>50702.873777946013</v>
      </c>
      <c r="T21" s="530">
        <v>1830730.5409020593</v>
      </c>
      <c r="U21" s="530" t="s">
        <v>57</v>
      </c>
    </row>
    <row r="22" spans="1:21" ht="13.8" x14ac:dyDescent="0.3">
      <c r="A22" s="530" t="str">
        <f t="shared" si="0"/>
        <v>North Wales.2011.Population.Total</v>
      </c>
      <c r="B22" s="530" t="s">
        <v>220</v>
      </c>
      <c r="C22" s="530" t="str">
        <f t="shared" si="1"/>
        <v>2011.Population.Total</v>
      </c>
      <c r="D22" s="530" t="s">
        <v>219</v>
      </c>
      <c r="E22" s="662" t="s">
        <v>19</v>
      </c>
      <c r="F22" s="662" t="s">
        <v>54</v>
      </c>
      <c r="G22" s="662" t="s">
        <v>54</v>
      </c>
      <c r="H22" s="530">
        <v>678500</v>
      </c>
      <c r="I22" s="530">
        <v>678500</v>
      </c>
      <c r="J22" s="530">
        <v>678500</v>
      </c>
      <c r="K22" s="530">
        <v>678500</v>
      </c>
      <c r="L22" s="530">
        <v>678500</v>
      </c>
      <c r="M22" s="530">
        <v>678500</v>
      </c>
      <c r="N22" s="530">
        <v>678500</v>
      </c>
      <c r="O22" s="530">
        <v>678500</v>
      </c>
      <c r="P22" s="530">
        <v>678500</v>
      </c>
      <c r="Q22" s="530">
        <v>678500</v>
      </c>
      <c r="R22" s="530">
        <v>678500</v>
      </c>
      <c r="S22" s="530">
        <v>678500</v>
      </c>
      <c r="T22" s="530">
        <v>678500</v>
      </c>
      <c r="U22" s="530" t="s">
        <v>60</v>
      </c>
    </row>
    <row r="23" spans="1:21" ht="13.8" x14ac:dyDescent="0.3">
      <c r="A23" s="530" t="str">
        <f t="shared" si="0"/>
        <v>North Wales.2011.Employment.Serviced Accommodation</v>
      </c>
      <c r="B23" s="530" t="s">
        <v>220</v>
      </c>
      <c r="C23" s="530" t="str">
        <f t="shared" si="1"/>
        <v>2011.Employment.Serviced Accommodation</v>
      </c>
      <c r="D23" s="530" t="s">
        <v>219</v>
      </c>
      <c r="E23" s="662" t="s">
        <v>20</v>
      </c>
      <c r="F23" s="662" t="s">
        <v>43</v>
      </c>
      <c r="G23" s="662" t="s">
        <v>43</v>
      </c>
      <c r="H23" s="530">
        <v>5840.2479418030762</v>
      </c>
      <c r="I23" s="530">
        <v>6443.0264699074296</v>
      </c>
      <c r="J23" s="530">
        <v>7005.1009813531473</v>
      </c>
      <c r="K23" s="530">
        <v>8701.829134016185</v>
      </c>
      <c r="L23" s="530">
        <v>8850.0262487521413</v>
      </c>
      <c r="M23" s="530">
        <v>9003.1566371174595</v>
      </c>
      <c r="N23" s="530">
        <v>9422.8391893522803</v>
      </c>
      <c r="O23" s="530">
        <v>9885.5258487764131</v>
      </c>
      <c r="P23" s="530">
        <v>9114.7086745417801</v>
      </c>
      <c r="Q23" s="530">
        <v>8859.6563377813272</v>
      </c>
      <c r="R23" s="530">
        <v>6917.6774507585351</v>
      </c>
      <c r="S23" s="530">
        <v>6306.2627810299218</v>
      </c>
      <c r="T23" s="530">
        <v>8029.1714745991421</v>
      </c>
      <c r="U23" s="530" t="s">
        <v>59</v>
      </c>
    </row>
    <row r="24" spans="1:21" ht="13.8" x14ac:dyDescent="0.3">
      <c r="A24" s="530" t="str">
        <f t="shared" si="0"/>
        <v>North Wales.2011.Employment.Non-Serviced Accommodation</v>
      </c>
      <c r="B24" s="530" t="s">
        <v>220</v>
      </c>
      <c r="C24" s="530" t="str">
        <f t="shared" si="1"/>
        <v>2011.Employment.Non-Serviced Accommodation</v>
      </c>
      <c r="D24" s="530" t="s">
        <v>219</v>
      </c>
      <c r="E24" s="662" t="s">
        <v>20</v>
      </c>
      <c r="F24" s="662" t="s">
        <v>48</v>
      </c>
      <c r="G24" s="662" t="s">
        <v>48</v>
      </c>
      <c r="H24" s="530">
        <v>4363.6308858292705</v>
      </c>
      <c r="I24" s="530">
        <v>4993.3860318454563</v>
      </c>
      <c r="J24" s="530">
        <v>8704.4940393718643</v>
      </c>
      <c r="K24" s="530">
        <v>22373.98640388943</v>
      </c>
      <c r="L24" s="530">
        <v>23881.107267002659</v>
      </c>
      <c r="M24" s="530">
        <v>25197.215401132042</v>
      </c>
      <c r="N24" s="530">
        <v>29525.364628472402</v>
      </c>
      <c r="O24" s="530">
        <v>30748.498495930005</v>
      </c>
      <c r="P24" s="530">
        <v>23305.586616794688</v>
      </c>
      <c r="Q24" s="530">
        <v>16691.812475080598</v>
      </c>
      <c r="R24" s="530">
        <v>6612.8201787961407</v>
      </c>
      <c r="S24" s="530">
        <v>4957.3595534747556</v>
      </c>
      <c r="T24" s="530">
        <v>16779.605164801611</v>
      </c>
      <c r="U24" s="530" t="s">
        <v>59</v>
      </c>
    </row>
    <row r="25" spans="1:21" ht="13.8" x14ac:dyDescent="0.3">
      <c r="A25" s="530" t="str">
        <f t="shared" si="0"/>
        <v>North Wales.2011.Employment.SFR</v>
      </c>
      <c r="B25" s="530" t="s">
        <v>220</v>
      </c>
      <c r="C25" s="530" t="str">
        <f t="shared" si="1"/>
        <v>2011.Employment.SFR</v>
      </c>
      <c r="D25" s="530" t="s">
        <v>219</v>
      </c>
      <c r="E25" s="662" t="s">
        <v>20</v>
      </c>
      <c r="F25" s="662" t="s">
        <v>18</v>
      </c>
      <c r="G25" s="662" t="s">
        <v>18</v>
      </c>
      <c r="H25" s="530">
        <v>1731.0719099085786</v>
      </c>
      <c r="I25" s="530">
        <v>581.64016172928245</v>
      </c>
      <c r="J25" s="530">
        <v>661.65415223172351</v>
      </c>
      <c r="K25" s="530">
        <v>1578.7375818366236</v>
      </c>
      <c r="L25" s="530">
        <v>1015.5621871463661</v>
      </c>
      <c r="M25" s="530">
        <v>782.30601752588495</v>
      </c>
      <c r="N25" s="530">
        <v>1269.4527339329579</v>
      </c>
      <c r="O25" s="530">
        <v>1343.8349704884963</v>
      </c>
      <c r="P25" s="530">
        <v>692.1841058001645</v>
      </c>
      <c r="Q25" s="530">
        <v>691.50552561148015</v>
      </c>
      <c r="R25" s="530">
        <v>538.82498315754356</v>
      </c>
      <c r="S25" s="530">
        <v>1560.272814797599</v>
      </c>
      <c r="T25" s="530">
        <v>1037.2539286805584</v>
      </c>
      <c r="U25" s="530" t="s">
        <v>59</v>
      </c>
    </row>
    <row r="26" spans="1:21" ht="13.8" x14ac:dyDescent="0.3">
      <c r="A26" s="530" t="str">
        <f t="shared" si="0"/>
        <v>North Wales.2011.Employment.Day Visitor</v>
      </c>
      <c r="B26" s="530" t="s">
        <v>220</v>
      </c>
      <c r="C26" s="530" t="str">
        <f t="shared" si="1"/>
        <v>2011.Employment.Day Visitor</v>
      </c>
      <c r="D26" s="530" t="s">
        <v>219</v>
      </c>
      <c r="E26" s="662" t="s">
        <v>20</v>
      </c>
      <c r="F26" s="662" t="s">
        <v>71</v>
      </c>
      <c r="G26" s="662" t="s">
        <v>71</v>
      </c>
      <c r="H26" s="530">
        <v>2584.3902641245327</v>
      </c>
      <c r="I26" s="530">
        <v>3775.6602485447452</v>
      </c>
      <c r="J26" s="530">
        <v>4851.2451733313637</v>
      </c>
      <c r="K26" s="530">
        <v>10849.941323348721</v>
      </c>
      <c r="L26" s="530">
        <v>8744.1458118222054</v>
      </c>
      <c r="M26" s="530">
        <v>10667.02597144183</v>
      </c>
      <c r="N26" s="530">
        <v>12631.041251752946</v>
      </c>
      <c r="O26" s="530">
        <v>15484.729042870104</v>
      </c>
      <c r="P26" s="530">
        <v>8207.7070463793752</v>
      </c>
      <c r="Q26" s="530">
        <v>7159.7276217940216</v>
      </c>
      <c r="R26" s="530">
        <v>3492.7129842804434</v>
      </c>
      <c r="S26" s="530">
        <v>2460.0433920642859</v>
      </c>
      <c r="T26" s="530">
        <v>7575.6975109795476</v>
      </c>
      <c r="U26" s="530" t="s">
        <v>59</v>
      </c>
    </row>
    <row r="27" spans="1:21" ht="13.8" x14ac:dyDescent="0.3">
      <c r="A27" s="530" t="str">
        <f t="shared" si="0"/>
        <v>North Wales.2011.Employment.Direct Employment</v>
      </c>
      <c r="B27" s="530" t="s">
        <v>220</v>
      </c>
      <c r="C27" s="530" t="str">
        <f t="shared" si="1"/>
        <v>2011.Employment.Direct Employment</v>
      </c>
      <c r="D27" s="530" t="s">
        <v>219</v>
      </c>
      <c r="E27" s="662" t="s">
        <v>20</v>
      </c>
      <c r="F27" s="662" t="s">
        <v>55</v>
      </c>
      <c r="G27" s="662" t="s">
        <v>55</v>
      </c>
      <c r="H27" s="530">
        <v>14519.341001665458</v>
      </c>
      <c r="I27" s="530">
        <v>15793.712912026913</v>
      </c>
      <c r="J27" s="530">
        <v>21222.494346288098</v>
      </c>
      <c r="K27" s="530">
        <v>43504.49444309096</v>
      </c>
      <c r="L27" s="530">
        <v>42490.841514723375</v>
      </c>
      <c r="M27" s="530">
        <v>45649.704027217209</v>
      </c>
      <c r="N27" s="530">
        <v>52848.697803510586</v>
      </c>
      <c r="O27" s="530">
        <v>57462.588358065019</v>
      </c>
      <c r="P27" s="530">
        <v>41320.18644351601</v>
      </c>
      <c r="Q27" s="530">
        <v>33402.701960267426</v>
      </c>
      <c r="R27" s="530">
        <v>17562.035596992664</v>
      </c>
      <c r="S27" s="530">
        <v>15283.938541366562</v>
      </c>
      <c r="T27" s="530">
        <v>33421.728079060849</v>
      </c>
      <c r="U27" s="530" t="s">
        <v>59</v>
      </c>
    </row>
    <row r="28" spans="1:21" ht="13.8" x14ac:dyDescent="0.3">
      <c r="A28" s="530" t="str">
        <f t="shared" si="0"/>
        <v>North Wales.2011.Employment.Indirect Employment</v>
      </c>
      <c r="B28" s="530" t="s">
        <v>220</v>
      </c>
      <c r="C28" s="530" t="str">
        <f t="shared" si="1"/>
        <v>2011.Employment.Indirect Employment</v>
      </c>
      <c r="D28" s="530" t="s">
        <v>219</v>
      </c>
      <c r="E28" s="662" t="s">
        <v>20</v>
      </c>
      <c r="F28" s="662" t="s">
        <v>53</v>
      </c>
      <c r="G28" s="662" t="s">
        <v>53</v>
      </c>
      <c r="H28" s="530">
        <v>2482.7947752923023</v>
      </c>
      <c r="I28" s="530">
        <v>2981.0194969895633</v>
      </c>
      <c r="J28" s="530">
        <v>4508.166394980095</v>
      </c>
      <c r="K28" s="530">
        <v>10941.068246759311</v>
      </c>
      <c r="L28" s="530">
        <v>10781.709918538867</v>
      </c>
      <c r="M28" s="530">
        <v>11741.874451259026</v>
      </c>
      <c r="N28" s="530">
        <v>15342.84315847685</v>
      </c>
      <c r="O28" s="530">
        <v>16950.790060859257</v>
      </c>
      <c r="P28" s="530">
        <v>11441.484482890643</v>
      </c>
      <c r="Q28" s="530">
        <v>7813.5820068576286</v>
      </c>
      <c r="R28" s="530">
        <v>3496.5602170815605</v>
      </c>
      <c r="S28" s="530">
        <v>2753.0160875727092</v>
      </c>
      <c r="T28" s="530">
        <v>8436.2424414631514</v>
      </c>
      <c r="U28" s="530" t="s">
        <v>59</v>
      </c>
    </row>
    <row r="29" spans="1:21" ht="13.8" x14ac:dyDescent="0.3">
      <c r="A29" s="530" t="str">
        <f t="shared" si="0"/>
        <v>North Wales.2011.Employment.Total</v>
      </c>
      <c r="B29" s="530" t="s">
        <v>220</v>
      </c>
      <c r="C29" s="530" t="str">
        <f t="shared" si="1"/>
        <v>2011.Employment.Total</v>
      </c>
      <c r="D29" s="530" t="s">
        <v>219</v>
      </c>
      <c r="E29" s="662" t="s">
        <v>20</v>
      </c>
      <c r="F29" s="662" t="s">
        <v>54</v>
      </c>
      <c r="G29" s="662" t="s">
        <v>54</v>
      </c>
      <c r="H29" s="530">
        <v>17002.135776957759</v>
      </c>
      <c r="I29" s="530">
        <v>18774.732409016473</v>
      </c>
      <c r="J29" s="530">
        <v>25730.660741268195</v>
      </c>
      <c r="K29" s="530">
        <v>54445.562689850267</v>
      </c>
      <c r="L29" s="530">
        <v>53272.551433262241</v>
      </c>
      <c r="M29" s="530">
        <v>57391.578478476236</v>
      </c>
      <c r="N29" s="530">
        <v>68191.540961987441</v>
      </c>
      <c r="O29" s="530">
        <v>74413.378418924287</v>
      </c>
      <c r="P29" s="530">
        <v>52761.670926406652</v>
      </c>
      <c r="Q29" s="530">
        <v>41216.283967125062</v>
      </c>
      <c r="R29" s="530">
        <v>21058.595814074226</v>
      </c>
      <c r="S29" s="530">
        <v>18036.954628939271</v>
      </c>
      <c r="T29" s="530">
        <v>41857.97052052401</v>
      </c>
      <c r="U29" s="530" t="s">
        <v>59</v>
      </c>
    </row>
    <row r="30" spans="1:21" ht="13.8" x14ac:dyDescent="0.3">
      <c r="A30" s="530" t="str">
        <f t="shared" si="0"/>
        <v>North Wales.2011.Employment.Accommodation</v>
      </c>
      <c r="B30" s="530" t="s">
        <v>220</v>
      </c>
      <c r="C30" s="530" t="str">
        <f t="shared" si="1"/>
        <v>2011.Employment.Accommodation</v>
      </c>
      <c r="D30" s="530" t="s">
        <v>219</v>
      </c>
      <c r="E30" s="662" t="s">
        <v>20</v>
      </c>
      <c r="F30" s="662" t="s">
        <v>23</v>
      </c>
      <c r="G30" s="662" t="s">
        <v>23</v>
      </c>
      <c r="H30" s="530">
        <v>7286.7007183908045</v>
      </c>
      <c r="I30" s="530">
        <v>7571.809051724138</v>
      </c>
      <c r="J30" s="530">
        <v>8314.8606321839088</v>
      </c>
      <c r="K30" s="530">
        <v>10733.381609195401</v>
      </c>
      <c r="L30" s="530">
        <v>10816.861206896552</v>
      </c>
      <c r="M30" s="530">
        <v>10849.553735632186</v>
      </c>
      <c r="N30" s="530">
        <v>10901.689452027696</v>
      </c>
      <c r="O30" s="530">
        <v>11061.290714267643</v>
      </c>
      <c r="P30" s="530">
        <v>10892.33740229885</v>
      </c>
      <c r="Q30" s="530">
        <v>10650.259396551724</v>
      </c>
      <c r="R30" s="530">
        <v>7923.7857758620676</v>
      </c>
      <c r="S30" s="530">
        <v>7545.477442528736</v>
      </c>
      <c r="T30" s="530">
        <v>9545.667261463308</v>
      </c>
      <c r="U30" s="530" t="s">
        <v>59</v>
      </c>
    </row>
    <row r="31" spans="1:21" ht="13.8" x14ac:dyDescent="0.3">
      <c r="A31" s="530" t="str">
        <f t="shared" si="0"/>
        <v>North Wales.2011.Employment.Food &amp; Drink</v>
      </c>
      <c r="B31" s="530" t="s">
        <v>220</v>
      </c>
      <c r="C31" s="530" t="str">
        <f t="shared" si="1"/>
        <v>2011.Employment.Food &amp; Drink</v>
      </c>
      <c r="D31" s="530" t="s">
        <v>219</v>
      </c>
      <c r="E31" s="662" t="s">
        <v>20</v>
      </c>
      <c r="F31" s="662" t="s">
        <v>49</v>
      </c>
      <c r="G31" s="662" t="s">
        <v>49</v>
      </c>
      <c r="H31" s="530">
        <v>2664.2281670327243</v>
      </c>
      <c r="I31" s="530">
        <v>2779.2403381493368</v>
      </c>
      <c r="J31" s="530">
        <v>4638.8648356902995</v>
      </c>
      <c r="K31" s="530">
        <v>11183.79031739906</v>
      </c>
      <c r="L31" s="530">
        <v>11061.508775930553</v>
      </c>
      <c r="M31" s="530">
        <v>11903.659453772343</v>
      </c>
      <c r="N31" s="530">
        <v>14643.738828717223</v>
      </c>
      <c r="O31" s="530">
        <v>16044.057569677916</v>
      </c>
      <c r="P31" s="530">
        <v>10614.560377758553</v>
      </c>
      <c r="Q31" s="530">
        <v>8099.8085520057884</v>
      </c>
      <c r="R31" s="530">
        <v>3445.2587423979849</v>
      </c>
      <c r="S31" s="530">
        <v>2832.3469174949378</v>
      </c>
      <c r="T31" s="530">
        <v>8325.9219063355595</v>
      </c>
      <c r="U31" s="530" t="s">
        <v>59</v>
      </c>
    </row>
    <row r="32" spans="1:21" ht="13.8" x14ac:dyDescent="0.3">
      <c r="A32" s="530" t="str">
        <f t="shared" si="0"/>
        <v>North Wales.2011.Employment.Recreation</v>
      </c>
      <c r="B32" s="530" t="s">
        <v>220</v>
      </c>
      <c r="C32" s="530" t="str">
        <f t="shared" si="1"/>
        <v>2011.Employment.Recreation</v>
      </c>
      <c r="D32" s="530" t="s">
        <v>219</v>
      </c>
      <c r="E32" s="662" t="s">
        <v>20</v>
      </c>
      <c r="F32" s="662" t="s">
        <v>50</v>
      </c>
      <c r="G32" s="662" t="s">
        <v>50</v>
      </c>
      <c r="H32" s="530">
        <v>921.83508752345028</v>
      </c>
      <c r="I32" s="530">
        <v>1084.4698133929369</v>
      </c>
      <c r="J32" s="530">
        <v>1718.0595214497241</v>
      </c>
      <c r="K32" s="530">
        <v>5130.9488874372673</v>
      </c>
      <c r="L32" s="530">
        <v>4875.5025215702453</v>
      </c>
      <c r="M32" s="530">
        <v>5523.7263173276115</v>
      </c>
      <c r="N32" s="530">
        <v>6437.1085285425825</v>
      </c>
      <c r="O32" s="530">
        <v>6947.9064917427013</v>
      </c>
      <c r="P32" s="530">
        <v>4839.4203781314918</v>
      </c>
      <c r="Q32" s="530">
        <v>3321.9755151887343</v>
      </c>
      <c r="R32" s="530">
        <v>1348.461669108005</v>
      </c>
      <c r="S32" s="530">
        <v>1033.4215084898105</v>
      </c>
      <c r="T32" s="530">
        <v>3598.5696866587136</v>
      </c>
      <c r="U32" s="530" t="s">
        <v>59</v>
      </c>
    </row>
    <row r="33" spans="1:21" ht="13.8" x14ac:dyDescent="0.3">
      <c r="A33" s="530" t="str">
        <f t="shared" si="0"/>
        <v>North Wales.2011.Employment.Shopping</v>
      </c>
      <c r="B33" s="530" t="s">
        <v>220</v>
      </c>
      <c r="C33" s="530" t="str">
        <f t="shared" si="1"/>
        <v>2011.Employment.Shopping</v>
      </c>
      <c r="D33" s="530" t="s">
        <v>219</v>
      </c>
      <c r="E33" s="662" t="s">
        <v>20</v>
      </c>
      <c r="F33" s="662" t="s">
        <v>51</v>
      </c>
      <c r="G33" s="662" t="s">
        <v>51</v>
      </c>
      <c r="H33" s="530">
        <v>3179.9328835036881</v>
      </c>
      <c r="I33" s="530">
        <v>3803.9574680348023</v>
      </c>
      <c r="J33" s="530">
        <v>5659.4682588555816</v>
      </c>
      <c r="K33" s="530">
        <v>14059.791688286308</v>
      </c>
      <c r="L33" s="530">
        <v>13403.585295567153</v>
      </c>
      <c r="M33" s="530">
        <v>14797.099744690053</v>
      </c>
      <c r="N33" s="530">
        <v>17800.644592190554</v>
      </c>
      <c r="O33" s="530">
        <v>20044.746727599828</v>
      </c>
      <c r="P33" s="530">
        <v>12716.03357757207</v>
      </c>
      <c r="Q33" s="530">
        <v>9692.7136045406241</v>
      </c>
      <c r="R33" s="530">
        <v>4183.6017582020377</v>
      </c>
      <c r="S33" s="530">
        <v>3360.7850788956671</v>
      </c>
      <c r="T33" s="530">
        <v>10225.196723161529</v>
      </c>
      <c r="U33" s="530" t="s">
        <v>59</v>
      </c>
    </row>
    <row r="34" spans="1:21" ht="13.8" x14ac:dyDescent="0.3">
      <c r="A34" s="530" t="str">
        <f t="shared" si="0"/>
        <v>North Wales.2011.Employment.Transport</v>
      </c>
      <c r="B34" s="530" t="s">
        <v>220</v>
      </c>
      <c r="C34" s="530" t="str">
        <f t="shared" si="1"/>
        <v>2011.Employment.Transport</v>
      </c>
      <c r="D34" s="530" t="s">
        <v>219</v>
      </c>
      <c r="E34" s="662" t="s">
        <v>20</v>
      </c>
      <c r="F34" s="662" t="s">
        <v>52</v>
      </c>
      <c r="G34" s="662" t="s">
        <v>52</v>
      </c>
      <c r="H34" s="530">
        <v>466.64414521478977</v>
      </c>
      <c r="I34" s="530">
        <v>554.23624072569987</v>
      </c>
      <c r="J34" s="530">
        <v>891.24109810858158</v>
      </c>
      <c r="K34" s="530">
        <v>2396.5819407729209</v>
      </c>
      <c r="L34" s="530">
        <v>2333.3837147588733</v>
      </c>
      <c r="M34" s="530">
        <v>2575.6647757950245</v>
      </c>
      <c r="N34" s="530">
        <v>3065.516402032531</v>
      </c>
      <c r="O34" s="530">
        <v>3364.5868547769419</v>
      </c>
      <c r="P34" s="530">
        <v>2257.8347077550461</v>
      </c>
      <c r="Q34" s="530">
        <v>1637.9448919805589</v>
      </c>
      <c r="R34" s="530">
        <v>660.92765142256633</v>
      </c>
      <c r="S34" s="530">
        <v>511.90759395741065</v>
      </c>
      <c r="T34" s="530">
        <v>1726.3725014417457</v>
      </c>
      <c r="U34" s="530" t="s">
        <v>59</v>
      </c>
    </row>
    <row r="35" spans="1:21" ht="13.8" x14ac:dyDescent="0.3">
      <c r="A35" s="530" t="str">
        <f t="shared" si="0"/>
        <v>North Wales.2011.Visitor Days.Serviced Accommodation</v>
      </c>
      <c r="B35" s="530" t="s">
        <v>220</v>
      </c>
      <c r="C35" s="530" t="str">
        <f t="shared" si="1"/>
        <v>2011.Visitor Days.Serviced Accommodation</v>
      </c>
      <c r="D35" s="530" t="s">
        <v>219</v>
      </c>
      <c r="E35" s="662" t="s">
        <v>171</v>
      </c>
      <c r="F35" s="662" t="s">
        <v>43</v>
      </c>
      <c r="G35" s="662" t="s">
        <v>43</v>
      </c>
      <c r="H35" s="530">
        <v>156.82060516647942</v>
      </c>
      <c r="I35" s="530">
        <v>220.30170345690934</v>
      </c>
      <c r="J35" s="530">
        <v>275.12994853992245</v>
      </c>
      <c r="K35" s="530">
        <v>413.80236561137303</v>
      </c>
      <c r="L35" s="530">
        <v>439.36179928449354</v>
      </c>
      <c r="M35" s="530">
        <v>464.65902148347902</v>
      </c>
      <c r="N35" s="530">
        <v>534.93082216788343</v>
      </c>
      <c r="O35" s="530">
        <v>606.76464514463794</v>
      </c>
      <c r="P35" s="530">
        <v>473.20046009632665</v>
      </c>
      <c r="Q35" s="530">
        <v>451.03596670689228</v>
      </c>
      <c r="R35" s="530">
        <v>278.59501924886257</v>
      </c>
      <c r="S35" s="530">
        <v>208.25855269874185</v>
      </c>
      <c r="T35" s="530">
        <v>4522.8609096060009</v>
      </c>
      <c r="U35" s="530" t="s">
        <v>61</v>
      </c>
    </row>
    <row r="36" spans="1:21" ht="13.8" x14ac:dyDescent="0.3">
      <c r="A36" s="530" t="str">
        <f t="shared" si="0"/>
        <v>North Wales.2011.Visitor Days.Non-Serviced Accommodation</v>
      </c>
      <c r="B36" s="530" t="s">
        <v>220</v>
      </c>
      <c r="C36" s="530" t="str">
        <f t="shared" si="1"/>
        <v>2011.Visitor Days.Non-Serviced Accommodation</v>
      </c>
      <c r="D36" s="530" t="s">
        <v>219</v>
      </c>
      <c r="E36" s="662" t="s">
        <v>171</v>
      </c>
      <c r="F36" s="662" t="s">
        <v>48</v>
      </c>
      <c r="G36" s="662" t="s">
        <v>48</v>
      </c>
      <c r="H36" s="530">
        <v>507.03222843023082</v>
      </c>
      <c r="I36" s="530">
        <v>618.76277487145671</v>
      </c>
      <c r="J36" s="530">
        <v>1467.6810706509104</v>
      </c>
      <c r="K36" s="530">
        <v>3919.8899363161813</v>
      </c>
      <c r="L36" s="530">
        <v>4328.9171534508714</v>
      </c>
      <c r="M36" s="530">
        <v>4527.6475354583754</v>
      </c>
      <c r="N36" s="530">
        <v>5614.3217715978199</v>
      </c>
      <c r="O36" s="530">
        <v>5896.4939857899553</v>
      </c>
      <c r="P36" s="530">
        <v>4165.3750913233371</v>
      </c>
      <c r="Q36" s="530">
        <v>2892.7041520553553</v>
      </c>
      <c r="R36" s="530">
        <v>988.2721014935762</v>
      </c>
      <c r="S36" s="530">
        <v>617.37446751545383</v>
      </c>
      <c r="T36" s="530">
        <v>35544.472268953527</v>
      </c>
      <c r="U36" s="530" t="s">
        <v>61</v>
      </c>
    </row>
    <row r="37" spans="1:21" ht="13.8" x14ac:dyDescent="0.3">
      <c r="A37" s="530" t="str">
        <f t="shared" si="0"/>
        <v>North Wales.2011.Visitor Days.SFR</v>
      </c>
      <c r="B37" s="530" t="s">
        <v>220</v>
      </c>
      <c r="C37" s="530" t="str">
        <f t="shared" si="1"/>
        <v>2011.Visitor Days.SFR</v>
      </c>
      <c r="D37" s="530" t="s">
        <v>219</v>
      </c>
      <c r="E37" s="662" t="s">
        <v>171</v>
      </c>
      <c r="F37" s="662" t="s">
        <v>18</v>
      </c>
      <c r="G37" s="662" t="s">
        <v>18</v>
      </c>
      <c r="H37" s="530">
        <v>346.9602272727272</v>
      </c>
      <c r="I37" s="530">
        <v>116.57863636363633</v>
      </c>
      <c r="J37" s="530">
        <v>132.6159090909091</v>
      </c>
      <c r="K37" s="530">
        <v>316.42772727272722</v>
      </c>
      <c r="L37" s="530">
        <v>203.54999999999995</v>
      </c>
      <c r="M37" s="530">
        <v>156.7982659090909</v>
      </c>
      <c r="N37" s="530">
        <v>254.43749999999997</v>
      </c>
      <c r="O37" s="530">
        <v>269.3459954545454</v>
      </c>
      <c r="P37" s="530">
        <v>138.73505386363638</v>
      </c>
      <c r="Q37" s="530">
        <v>138.59904545454546</v>
      </c>
      <c r="R37" s="530">
        <v>107.9971534090909</v>
      </c>
      <c r="S37" s="530">
        <v>312.7268181818182</v>
      </c>
      <c r="T37" s="530">
        <v>2494.7723322727275</v>
      </c>
      <c r="U37" s="530" t="s">
        <v>61</v>
      </c>
    </row>
    <row r="38" spans="1:21" ht="13.8" x14ac:dyDescent="0.3">
      <c r="A38" s="530" t="str">
        <f t="shared" si="0"/>
        <v>North Wales.2011.Visitor Days.Day Visitor</v>
      </c>
      <c r="B38" s="530" t="s">
        <v>220</v>
      </c>
      <c r="C38" s="530" t="str">
        <f t="shared" si="1"/>
        <v>2011.Visitor Days.Day Visitor</v>
      </c>
      <c r="D38" s="530" t="s">
        <v>219</v>
      </c>
      <c r="E38" s="662" t="s">
        <v>171</v>
      </c>
      <c r="F38" s="662" t="s">
        <v>71</v>
      </c>
      <c r="G38" s="662" t="s">
        <v>71</v>
      </c>
      <c r="H38" s="530">
        <v>545.07495207098816</v>
      </c>
      <c r="I38" s="530">
        <v>741.74263544062876</v>
      </c>
      <c r="J38" s="530">
        <v>957.18147022275321</v>
      </c>
      <c r="K38" s="530">
        <v>2098.4379998484274</v>
      </c>
      <c r="L38" s="530">
        <v>1675.7212531724438</v>
      </c>
      <c r="M38" s="530">
        <v>2056.4730149448965</v>
      </c>
      <c r="N38" s="530">
        <v>2469.7126485458703</v>
      </c>
      <c r="O38" s="530">
        <v>2993.1927693609478</v>
      </c>
      <c r="P38" s="530">
        <v>1592.5262156100619</v>
      </c>
      <c r="Q38" s="530">
        <v>1412.1959706795853</v>
      </c>
      <c r="R38" s="530">
        <v>723.36878618501885</v>
      </c>
      <c r="S38" s="530">
        <v>516.9614624756781</v>
      </c>
      <c r="T38" s="530">
        <v>17782.5891785573</v>
      </c>
      <c r="U38" s="530" t="s">
        <v>61</v>
      </c>
    </row>
    <row r="39" spans="1:21" ht="13.8" x14ac:dyDescent="0.3">
      <c r="A39" s="530" t="str">
        <f t="shared" si="0"/>
        <v>North Wales.2011.Visitor Days.Total</v>
      </c>
      <c r="B39" s="530" t="s">
        <v>220</v>
      </c>
      <c r="C39" s="530" t="str">
        <f t="shared" si="1"/>
        <v>2011.Visitor Days.Total</v>
      </c>
      <c r="D39" s="530" t="s">
        <v>219</v>
      </c>
      <c r="E39" s="662" t="s">
        <v>171</v>
      </c>
      <c r="F39" s="662" t="s">
        <v>54</v>
      </c>
      <c r="G39" s="662" t="s">
        <v>54</v>
      </c>
      <c r="H39" s="530">
        <v>1555.8880129404258</v>
      </c>
      <c r="I39" s="530">
        <v>1697.3857501326311</v>
      </c>
      <c r="J39" s="530">
        <v>2832.6083985044952</v>
      </c>
      <c r="K39" s="530">
        <v>6748.5580290487087</v>
      </c>
      <c r="L39" s="530">
        <v>6647.550205907808</v>
      </c>
      <c r="M39" s="530">
        <v>7205.5778377958413</v>
      </c>
      <c r="N39" s="530">
        <v>8873.4027423115731</v>
      </c>
      <c r="O39" s="530">
        <v>9765.7973957500872</v>
      </c>
      <c r="P39" s="530">
        <v>6369.8368208933625</v>
      </c>
      <c r="Q39" s="530">
        <v>4894.5351348963786</v>
      </c>
      <c r="R39" s="530">
        <v>2098.2330603365485</v>
      </c>
      <c r="S39" s="530">
        <v>1655.3213008716921</v>
      </c>
      <c r="T39" s="530">
        <v>60344.694689389544</v>
      </c>
      <c r="U39" s="530" t="s">
        <v>61</v>
      </c>
    </row>
    <row r="40" spans="1:21" ht="13.8" x14ac:dyDescent="0.3">
      <c r="A40" s="530" t="str">
        <f t="shared" si="0"/>
        <v>North Wales.2011.Visitor Numbers.Serviced Accommodation</v>
      </c>
      <c r="B40" s="530" t="s">
        <v>220</v>
      </c>
      <c r="C40" s="530" t="str">
        <f t="shared" si="1"/>
        <v>2011.Visitor Numbers.Serviced Accommodation</v>
      </c>
      <c r="D40" s="530" t="s">
        <v>219</v>
      </c>
      <c r="E40" s="662" t="s">
        <v>172</v>
      </c>
      <c r="F40" s="662" t="s">
        <v>43</v>
      </c>
      <c r="G40" s="662" t="s">
        <v>43</v>
      </c>
      <c r="H40" s="530">
        <v>102.18817668974033</v>
      </c>
      <c r="I40" s="530">
        <v>146.8741300990099</v>
      </c>
      <c r="J40" s="530">
        <v>133.67981794510163</v>
      </c>
      <c r="K40" s="530">
        <v>228.04207794719565</v>
      </c>
      <c r="L40" s="530">
        <v>234.37594494412755</v>
      </c>
      <c r="M40" s="530">
        <v>261.80493533847232</v>
      </c>
      <c r="N40" s="530">
        <v>311.52331561717244</v>
      </c>
      <c r="O40" s="530">
        <v>352.68227376003404</v>
      </c>
      <c r="P40" s="530">
        <v>242.2688224440584</v>
      </c>
      <c r="Q40" s="530">
        <v>260.81618459767088</v>
      </c>
      <c r="R40" s="530">
        <v>162.689590504172</v>
      </c>
      <c r="S40" s="530">
        <v>128.97183672063491</v>
      </c>
      <c r="T40" s="530">
        <v>2565.9171066073905</v>
      </c>
      <c r="U40" s="530" t="s">
        <v>61</v>
      </c>
    </row>
    <row r="41" spans="1:21" ht="13.8" x14ac:dyDescent="0.3">
      <c r="A41" s="530" t="str">
        <f t="shared" si="0"/>
        <v>North Wales.2011.Visitor Numbers.Non-Serviced Accommodation</v>
      </c>
      <c r="B41" s="530" t="s">
        <v>220</v>
      </c>
      <c r="C41" s="530" t="str">
        <f t="shared" si="1"/>
        <v>2011.Visitor Numbers.Non-Serviced Accommodation</v>
      </c>
      <c r="D41" s="530" t="s">
        <v>219</v>
      </c>
      <c r="E41" s="662" t="s">
        <v>172</v>
      </c>
      <c r="F41" s="662" t="s">
        <v>48</v>
      </c>
      <c r="G41" s="662" t="s">
        <v>48</v>
      </c>
      <c r="H41" s="530">
        <v>149.12712600889145</v>
      </c>
      <c r="I41" s="530">
        <v>154.69069371786418</v>
      </c>
      <c r="J41" s="530">
        <v>305.76688971893969</v>
      </c>
      <c r="K41" s="530">
        <v>612.48280254940335</v>
      </c>
      <c r="L41" s="530">
        <v>627.37929760157556</v>
      </c>
      <c r="M41" s="530">
        <v>646.80679077976788</v>
      </c>
      <c r="N41" s="530">
        <v>790.74954529546744</v>
      </c>
      <c r="O41" s="530">
        <v>775.85447181446796</v>
      </c>
      <c r="P41" s="530">
        <v>603.67754946715047</v>
      </c>
      <c r="Q41" s="530">
        <v>413.24345029362229</v>
      </c>
      <c r="R41" s="530">
        <v>219.61602255412805</v>
      </c>
      <c r="S41" s="530">
        <v>110.24544062775962</v>
      </c>
      <c r="T41" s="530">
        <v>5409.6400804290397</v>
      </c>
      <c r="U41" s="530" t="s">
        <v>61</v>
      </c>
    </row>
    <row r="42" spans="1:21" ht="13.8" x14ac:dyDescent="0.3">
      <c r="A42" s="530" t="str">
        <f t="shared" si="0"/>
        <v>North Wales.2011.Visitor Numbers.SFR</v>
      </c>
      <c r="B42" s="530" t="s">
        <v>220</v>
      </c>
      <c r="C42" s="530" t="str">
        <f t="shared" si="1"/>
        <v>2011.Visitor Numbers.SFR</v>
      </c>
      <c r="D42" s="530" t="s">
        <v>219</v>
      </c>
      <c r="E42" s="662" t="s">
        <v>172</v>
      </c>
      <c r="F42" s="662" t="s">
        <v>18</v>
      </c>
      <c r="G42" s="662" t="s">
        <v>18</v>
      </c>
      <c r="H42" s="530">
        <v>138.78409090909088</v>
      </c>
      <c r="I42" s="530">
        <v>55.513636363636351</v>
      </c>
      <c r="J42" s="530">
        <v>61.681818181818187</v>
      </c>
      <c r="K42" s="530">
        <v>117.19545454545454</v>
      </c>
      <c r="L42" s="530">
        <v>92.522727272727252</v>
      </c>
      <c r="M42" s="530">
        <v>74.665840909090903</v>
      </c>
      <c r="N42" s="530">
        <v>101.77499999999998</v>
      </c>
      <c r="O42" s="530">
        <v>103.59461363636365</v>
      </c>
      <c r="P42" s="530">
        <v>63.933204545454544</v>
      </c>
      <c r="Q42" s="530">
        <v>64.765909090909091</v>
      </c>
      <c r="R42" s="530">
        <v>53.200568181818177</v>
      </c>
      <c r="S42" s="530">
        <v>120.27954545454546</v>
      </c>
      <c r="T42" s="530">
        <v>1047.912409090909</v>
      </c>
      <c r="U42" s="530" t="s">
        <v>61</v>
      </c>
    </row>
    <row r="43" spans="1:21" ht="13.8" x14ac:dyDescent="0.3">
      <c r="A43" s="530" t="str">
        <f t="shared" si="0"/>
        <v>North Wales.2011.Visitor Numbers.Day Visitor</v>
      </c>
      <c r="B43" s="530" t="s">
        <v>220</v>
      </c>
      <c r="C43" s="530" t="str">
        <f t="shared" si="1"/>
        <v>2011.Visitor Numbers.Day Visitor</v>
      </c>
      <c r="D43" s="530" t="s">
        <v>219</v>
      </c>
      <c r="E43" s="662" t="s">
        <v>172</v>
      </c>
      <c r="F43" s="662" t="s">
        <v>71</v>
      </c>
      <c r="G43" s="662" t="s">
        <v>71</v>
      </c>
      <c r="H43" s="530">
        <v>545.07495207098816</v>
      </c>
      <c r="I43" s="530">
        <v>741.74263544062876</v>
      </c>
      <c r="J43" s="530">
        <v>957.18147022275321</v>
      </c>
      <c r="K43" s="530">
        <v>2098.4379998484274</v>
      </c>
      <c r="L43" s="530">
        <v>1675.7212531724438</v>
      </c>
      <c r="M43" s="530">
        <v>2056.4730149448965</v>
      </c>
      <c r="N43" s="530">
        <v>2469.7126485458703</v>
      </c>
      <c r="O43" s="530">
        <v>2993.1927693609478</v>
      </c>
      <c r="P43" s="530">
        <v>1592.5262156100619</v>
      </c>
      <c r="Q43" s="530">
        <v>1412.1959706795853</v>
      </c>
      <c r="R43" s="530">
        <v>723.36878618501885</v>
      </c>
      <c r="S43" s="530">
        <v>516.9614624756781</v>
      </c>
      <c r="T43" s="530">
        <v>17782.5891785573</v>
      </c>
      <c r="U43" s="530" t="s">
        <v>61</v>
      </c>
    </row>
    <row r="44" spans="1:21" ht="13.8" x14ac:dyDescent="0.3">
      <c r="A44" s="530" t="str">
        <f t="shared" si="0"/>
        <v>North Wales.2011.Visitor Numbers.Total</v>
      </c>
      <c r="B44" s="530" t="s">
        <v>220</v>
      </c>
      <c r="C44" s="530" t="str">
        <f t="shared" si="1"/>
        <v>2011.Visitor Numbers.Total</v>
      </c>
      <c r="D44" s="530" t="s">
        <v>219</v>
      </c>
      <c r="E44" s="662" t="s">
        <v>172</v>
      </c>
      <c r="F44" s="662" t="s">
        <v>54</v>
      </c>
      <c r="G44" s="662" t="s">
        <v>54</v>
      </c>
      <c r="H44" s="530">
        <v>935.17434567871078</v>
      </c>
      <c r="I44" s="530">
        <v>1098.8210956211392</v>
      </c>
      <c r="J44" s="530">
        <v>1458.3099960686127</v>
      </c>
      <c r="K44" s="530">
        <v>3056.158334890481</v>
      </c>
      <c r="L44" s="530">
        <v>2629.9992229908744</v>
      </c>
      <c r="M44" s="530">
        <v>3039.7505819722273</v>
      </c>
      <c r="N44" s="530">
        <v>3673.7605094585101</v>
      </c>
      <c r="O44" s="530">
        <v>4225.3241285718123</v>
      </c>
      <c r="P44" s="530">
        <v>2502.4057920667256</v>
      </c>
      <c r="Q44" s="530">
        <v>2151.0215146617875</v>
      </c>
      <c r="R44" s="530">
        <v>1158.8749674251369</v>
      </c>
      <c r="S44" s="530">
        <v>876.45828527861818</v>
      </c>
      <c r="T44" s="530">
        <v>26806.05877468464</v>
      </c>
      <c r="U44" s="530" t="s">
        <v>61</v>
      </c>
    </row>
    <row r="45" spans="1:21" ht="13.8" x14ac:dyDescent="0.3">
      <c r="A45" s="530" t="str">
        <f t="shared" si="0"/>
        <v>North Wales.2011.Vehicle Days.Serviced Accommodation</v>
      </c>
      <c r="B45" s="530" t="s">
        <v>220</v>
      </c>
      <c r="C45" s="530" t="str">
        <f t="shared" si="1"/>
        <v>2011.Vehicle Days.Serviced Accommodation</v>
      </c>
      <c r="D45" s="530" t="s">
        <v>219</v>
      </c>
      <c r="E45" s="662" t="s">
        <v>21</v>
      </c>
      <c r="F45" s="662" t="s">
        <v>43</v>
      </c>
      <c r="G45" s="662" t="s">
        <v>43</v>
      </c>
      <c r="H45" s="530">
        <v>40.940769700503594</v>
      </c>
      <c r="I45" s="530">
        <v>75.998815559642338</v>
      </c>
      <c r="J45" s="530">
        <v>98.875172733580825</v>
      </c>
      <c r="K45" s="530">
        <v>108.06233392703466</v>
      </c>
      <c r="L45" s="530">
        <v>123.04779122331249</v>
      </c>
      <c r="M45" s="530">
        <v>129.57588765914312</v>
      </c>
      <c r="N45" s="530">
        <v>139.8041431136586</v>
      </c>
      <c r="O45" s="530">
        <v>158.18539243048914</v>
      </c>
      <c r="P45" s="530">
        <v>123.83903186007545</v>
      </c>
      <c r="Q45" s="530">
        <v>138.55389407157361</v>
      </c>
      <c r="R45" s="530">
        <v>86.845908321931645</v>
      </c>
      <c r="S45" s="530">
        <v>54.8428343174349</v>
      </c>
      <c r="T45" s="530">
        <v>1278.5719749183804</v>
      </c>
      <c r="U45" s="530" t="s">
        <v>61</v>
      </c>
    </row>
    <row r="46" spans="1:21" ht="13.8" x14ac:dyDescent="0.3">
      <c r="A46" s="530" t="str">
        <f t="shared" si="0"/>
        <v>North Wales.2011.Vehicle Days.Non-Serviced Accommodation</v>
      </c>
      <c r="B46" s="530" t="s">
        <v>220</v>
      </c>
      <c r="C46" s="530" t="str">
        <f t="shared" si="1"/>
        <v>2011.Vehicle Days.Non-Serviced Accommodation</v>
      </c>
      <c r="D46" s="530" t="s">
        <v>219</v>
      </c>
      <c r="E46" s="662" t="s">
        <v>21</v>
      </c>
      <c r="F46" s="662" t="s">
        <v>48</v>
      </c>
      <c r="G46" s="662" t="s">
        <v>48</v>
      </c>
      <c r="H46" s="530">
        <v>128.74497586987314</v>
      </c>
      <c r="I46" s="530">
        <v>180.95544626509445</v>
      </c>
      <c r="J46" s="530">
        <v>373.03983563074189</v>
      </c>
      <c r="K46" s="530">
        <v>1062.428058461142</v>
      </c>
      <c r="L46" s="530">
        <v>1177.259434226477</v>
      </c>
      <c r="M46" s="530">
        <v>1247.0883122113967</v>
      </c>
      <c r="N46" s="530">
        <v>1484.4957473895338</v>
      </c>
      <c r="O46" s="530">
        <v>1539.8330355685111</v>
      </c>
      <c r="P46" s="530">
        <v>1138.0382714018085</v>
      </c>
      <c r="Q46" s="530">
        <v>754.62793219483126</v>
      </c>
      <c r="R46" s="530">
        <v>254.85247666834056</v>
      </c>
      <c r="S46" s="530">
        <v>149.57569105310606</v>
      </c>
      <c r="T46" s="530">
        <v>9490.9392169408584</v>
      </c>
      <c r="U46" s="530" t="s">
        <v>61</v>
      </c>
    </row>
    <row r="47" spans="1:21" ht="13.8" x14ac:dyDescent="0.3">
      <c r="A47" s="530" t="str">
        <f t="shared" si="0"/>
        <v>North Wales.2011.Vehicle Days.SFR</v>
      </c>
      <c r="B47" s="530" t="s">
        <v>220</v>
      </c>
      <c r="C47" s="530" t="str">
        <f t="shared" si="1"/>
        <v>2011.Vehicle Days.SFR</v>
      </c>
      <c r="D47" s="530" t="s">
        <v>219</v>
      </c>
      <c r="E47" s="662" t="s">
        <v>21</v>
      </c>
      <c r="F47" s="662" t="s">
        <v>18</v>
      </c>
      <c r="G47" s="662" t="s">
        <v>18</v>
      </c>
      <c r="H47" s="530">
        <v>106.77102272727271</v>
      </c>
      <c r="I47" s="530">
        <v>35.875063636363627</v>
      </c>
      <c r="J47" s="530">
        <v>40.810257575757575</v>
      </c>
      <c r="K47" s="530">
        <v>97.375172727272727</v>
      </c>
      <c r="L47" s="530">
        <v>62.639000000000003</v>
      </c>
      <c r="M47" s="530">
        <v>48.251960590909093</v>
      </c>
      <c r="N47" s="530">
        <v>78.298749999999998</v>
      </c>
      <c r="O47" s="530">
        <v>82.886582212121212</v>
      </c>
      <c r="P47" s="530">
        <v>42.693318786363633</v>
      </c>
      <c r="Q47" s="530">
        <v>42.651464545454544</v>
      </c>
      <c r="R47" s="530">
        <v>33.234260340909088</v>
      </c>
      <c r="S47" s="530">
        <v>96.236281818181823</v>
      </c>
      <c r="T47" s="530">
        <v>767.72313496060599</v>
      </c>
      <c r="U47" s="530" t="s">
        <v>61</v>
      </c>
    </row>
    <row r="48" spans="1:21" ht="13.8" x14ac:dyDescent="0.3">
      <c r="A48" s="530" t="str">
        <f t="shared" si="0"/>
        <v>North Wales.2011.Vehicle Days.Day Visitor</v>
      </c>
      <c r="B48" s="530" t="s">
        <v>220</v>
      </c>
      <c r="C48" s="530" t="str">
        <f t="shared" si="1"/>
        <v>2011.Vehicle Days.Day Visitor</v>
      </c>
      <c r="D48" s="530" t="s">
        <v>219</v>
      </c>
      <c r="E48" s="662" t="s">
        <v>21</v>
      </c>
      <c r="F48" s="662" t="s">
        <v>71</v>
      </c>
      <c r="G48" s="662" t="s">
        <v>71</v>
      </c>
      <c r="H48" s="530">
        <v>119.91648945561739</v>
      </c>
      <c r="I48" s="530">
        <v>186.495291196501</v>
      </c>
      <c r="J48" s="530">
        <v>240.6627696560065</v>
      </c>
      <c r="K48" s="530">
        <v>461.65635996665401</v>
      </c>
      <c r="L48" s="530">
        <v>368.65867569793761</v>
      </c>
      <c r="M48" s="530">
        <v>517.05607232900263</v>
      </c>
      <c r="N48" s="530">
        <v>543.33678268009146</v>
      </c>
      <c r="O48" s="530">
        <v>658.50240925940841</v>
      </c>
      <c r="P48" s="530">
        <v>350.35576743421353</v>
      </c>
      <c r="Q48" s="530">
        <v>355.0664154851529</v>
      </c>
      <c r="R48" s="530">
        <v>181.87558052651906</v>
      </c>
      <c r="S48" s="530">
        <v>113.73152174464917</v>
      </c>
      <c r="T48" s="530">
        <v>4097.3141354317531</v>
      </c>
      <c r="U48" s="530" t="s">
        <v>61</v>
      </c>
    </row>
    <row r="49" spans="1:21" ht="13.8" x14ac:dyDescent="0.3">
      <c r="A49" s="530" t="str">
        <f t="shared" si="0"/>
        <v>North Wales.2011.Vehicle Days.Total</v>
      </c>
      <c r="B49" s="530" t="s">
        <v>220</v>
      </c>
      <c r="C49" s="530" t="str">
        <f t="shared" si="1"/>
        <v>2011.Vehicle Days.Total</v>
      </c>
      <c r="D49" s="530" t="s">
        <v>219</v>
      </c>
      <c r="E49" s="662" t="s">
        <v>21</v>
      </c>
      <c r="F49" s="662" t="s">
        <v>54</v>
      </c>
      <c r="G49" s="662" t="s">
        <v>54</v>
      </c>
      <c r="H49" s="530">
        <v>396.37325775326684</v>
      </c>
      <c r="I49" s="530">
        <v>479.32461665760138</v>
      </c>
      <c r="J49" s="530">
        <v>753.38803559608675</v>
      </c>
      <c r="K49" s="530">
        <v>1729.5219250821033</v>
      </c>
      <c r="L49" s="530">
        <v>1731.6049011477271</v>
      </c>
      <c r="M49" s="530">
        <v>1941.9722327904512</v>
      </c>
      <c r="N49" s="530">
        <v>2245.935423183284</v>
      </c>
      <c r="O49" s="530">
        <v>2439.4074194705299</v>
      </c>
      <c r="P49" s="530">
        <v>1654.9263894824614</v>
      </c>
      <c r="Q49" s="530">
        <v>1290.8997062970125</v>
      </c>
      <c r="R49" s="530">
        <v>556.80822585770034</v>
      </c>
      <c r="S49" s="530">
        <v>414.38632893337194</v>
      </c>
      <c r="T49" s="530">
        <v>15634.548462251596</v>
      </c>
      <c r="U49" s="530" t="s">
        <v>61</v>
      </c>
    </row>
    <row r="50" spans="1:21" ht="13.8" x14ac:dyDescent="0.3">
      <c r="A50" s="530" t="str">
        <f t="shared" si="0"/>
        <v>North Wales.2011.Vehicle Numbers.Serviced Accommodation</v>
      </c>
      <c r="B50" s="530" t="s">
        <v>220</v>
      </c>
      <c r="C50" s="530" t="str">
        <f t="shared" si="1"/>
        <v>2011.Vehicle Numbers.Serviced Accommodation</v>
      </c>
      <c r="D50" s="530" t="s">
        <v>219</v>
      </c>
      <c r="E50" s="662" t="s">
        <v>22</v>
      </c>
      <c r="F50" s="662" t="s">
        <v>43</v>
      </c>
      <c r="G50" s="662" t="s">
        <v>43</v>
      </c>
      <c r="H50" s="530">
        <v>26.616252065849185</v>
      </c>
      <c r="I50" s="530">
        <v>50.694554297157261</v>
      </c>
      <c r="J50" s="530">
        <v>48.035805822316512</v>
      </c>
      <c r="K50" s="530">
        <v>59.546574110088834</v>
      </c>
      <c r="L50" s="530">
        <v>65.556735408038492</v>
      </c>
      <c r="M50" s="530">
        <v>72.961014676225659</v>
      </c>
      <c r="N50" s="530">
        <v>81.456265345850511</v>
      </c>
      <c r="O50" s="530">
        <v>92.048872634381226</v>
      </c>
      <c r="P50" s="530">
        <v>63.432907683085986</v>
      </c>
      <c r="Q50" s="530">
        <v>80.280070754047756</v>
      </c>
      <c r="R50" s="530">
        <v>50.017360704406613</v>
      </c>
      <c r="S50" s="530">
        <v>33.98806361849676</v>
      </c>
      <c r="T50" s="530">
        <v>724.63447711994479</v>
      </c>
      <c r="U50" s="530" t="s">
        <v>61</v>
      </c>
    </row>
    <row r="51" spans="1:21" ht="13.8" x14ac:dyDescent="0.3">
      <c r="A51" s="530" t="str">
        <f t="shared" si="0"/>
        <v>North Wales.2011.Vehicle Numbers.Non-Serviced Accommodation</v>
      </c>
      <c r="B51" s="530" t="s">
        <v>220</v>
      </c>
      <c r="C51" s="530" t="str">
        <f t="shared" si="1"/>
        <v>2011.Vehicle Numbers.Non-Serviced Accommodation</v>
      </c>
      <c r="D51" s="530" t="s">
        <v>219</v>
      </c>
      <c r="E51" s="662" t="s">
        <v>22</v>
      </c>
      <c r="F51" s="662" t="s">
        <v>48</v>
      </c>
      <c r="G51" s="662" t="s">
        <v>48</v>
      </c>
      <c r="H51" s="530">
        <v>37.866169373492099</v>
      </c>
      <c r="I51" s="530">
        <v>45.238861566273613</v>
      </c>
      <c r="J51" s="530">
        <v>77.716632423071232</v>
      </c>
      <c r="K51" s="530">
        <v>166.00438413455345</v>
      </c>
      <c r="L51" s="530">
        <v>170.61730930818507</v>
      </c>
      <c r="M51" s="530">
        <v>178.15547317305666</v>
      </c>
      <c r="N51" s="530">
        <v>209.08390808303292</v>
      </c>
      <c r="O51" s="530">
        <v>202.60960994322514</v>
      </c>
      <c r="P51" s="530">
        <v>164.93308281185634</v>
      </c>
      <c r="Q51" s="530">
        <v>107.80399031354733</v>
      </c>
      <c r="R51" s="530">
        <v>56.633883704075679</v>
      </c>
      <c r="S51" s="530">
        <v>26.709944830911798</v>
      </c>
      <c r="T51" s="530">
        <v>1443.3732496652813</v>
      </c>
      <c r="U51" s="530" t="s">
        <v>61</v>
      </c>
    </row>
    <row r="52" spans="1:21" ht="13.8" x14ac:dyDescent="0.3">
      <c r="A52" s="530" t="str">
        <f t="shared" si="0"/>
        <v>North Wales.2011.Vehicle Numbers.SFR</v>
      </c>
      <c r="B52" s="530" t="s">
        <v>220</v>
      </c>
      <c r="C52" s="530" t="str">
        <f t="shared" si="1"/>
        <v>2011.Vehicle Numbers.SFR</v>
      </c>
      <c r="D52" s="530" t="s">
        <v>219</v>
      </c>
      <c r="E52" s="662" t="s">
        <v>22</v>
      </c>
      <c r="F52" s="662" t="s">
        <v>18</v>
      </c>
      <c r="G52" s="662" t="s">
        <v>18</v>
      </c>
      <c r="H52" s="530">
        <v>42.708409090909079</v>
      </c>
      <c r="I52" s="530">
        <v>17.083363636363632</v>
      </c>
      <c r="J52" s="530">
        <v>18.981515151515154</v>
      </c>
      <c r="K52" s="530">
        <v>36.064878787878783</v>
      </c>
      <c r="L52" s="530">
        <v>28.472272727272724</v>
      </c>
      <c r="M52" s="530">
        <v>22.977124090909093</v>
      </c>
      <c r="N52" s="530">
        <v>31.319500000000001</v>
      </c>
      <c r="O52" s="530">
        <v>31.879454696969695</v>
      </c>
      <c r="P52" s="530">
        <v>19.674340454545455</v>
      </c>
      <c r="Q52" s="530">
        <v>19.93059090909091</v>
      </c>
      <c r="R52" s="530">
        <v>16.371556818181816</v>
      </c>
      <c r="S52" s="530">
        <v>37.013954545454546</v>
      </c>
      <c r="T52" s="530">
        <v>322.47696090909091</v>
      </c>
      <c r="U52" s="530" t="s">
        <v>61</v>
      </c>
    </row>
    <row r="53" spans="1:21" ht="13.8" x14ac:dyDescent="0.3">
      <c r="A53" s="530" t="str">
        <f t="shared" si="0"/>
        <v>North Wales.2011.Vehicle Numbers.Day Visitor</v>
      </c>
      <c r="B53" s="530" t="s">
        <v>220</v>
      </c>
      <c r="C53" s="530" t="str">
        <f t="shared" si="1"/>
        <v>2011.Vehicle Numbers.Day Visitor</v>
      </c>
      <c r="D53" s="530" t="s">
        <v>219</v>
      </c>
      <c r="E53" s="662" t="s">
        <v>22</v>
      </c>
      <c r="F53" s="662" t="s">
        <v>71</v>
      </c>
      <c r="G53" s="662" t="s">
        <v>71</v>
      </c>
      <c r="H53" s="530">
        <v>119.91648945561739</v>
      </c>
      <c r="I53" s="530">
        <v>186.495291196501</v>
      </c>
      <c r="J53" s="530">
        <v>240.6627696560065</v>
      </c>
      <c r="K53" s="530">
        <v>461.65635996665401</v>
      </c>
      <c r="L53" s="530">
        <v>368.65867569793761</v>
      </c>
      <c r="M53" s="530">
        <v>517.05607232900263</v>
      </c>
      <c r="N53" s="530">
        <v>543.33678268009146</v>
      </c>
      <c r="O53" s="530">
        <v>658.50240925940841</v>
      </c>
      <c r="P53" s="530">
        <v>350.35576743421353</v>
      </c>
      <c r="Q53" s="530">
        <v>355.0664154851529</v>
      </c>
      <c r="R53" s="530">
        <v>181.87558052651906</v>
      </c>
      <c r="S53" s="530">
        <v>113.73152174464917</v>
      </c>
      <c r="T53" s="530">
        <v>4097.3141354317531</v>
      </c>
      <c r="U53" s="530" t="s">
        <v>61</v>
      </c>
    </row>
    <row r="54" spans="1:21" ht="13.8" x14ac:dyDescent="0.3">
      <c r="A54" s="530" t="str">
        <f t="shared" si="0"/>
        <v>North Wales.2011.Vehicle Numbers.Total</v>
      </c>
      <c r="B54" s="530" t="s">
        <v>220</v>
      </c>
      <c r="C54" s="530" t="str">
        <f t="shared" si="1"/>
        <v>2011.Vehicle Numbers.Total</v>
      </c>
      <c r="D54" s="530" t="s">
        <v>219</v>
      </c>
      <c r="E54" s="662" t="s">
        <v>22</v>
      </c>
      <c r="F54" s="662" t="s">
        <v>54</v>
      </c>
      <c r="G54" s="662" t="s">
        <v>54</v>
      </c>
      <c r="H54" s="530">
        <v>227.10731998586775</v>
      </c>
      <c r="I54" s="530">
        <v>299.5120706962955</v>
      </c>
      <c r="J54" s="530">
        <v>385.39672305290941</v>
      </c>
      <c r="K54" s="530">
        <v>723.27219699917509</v>
      </c>
      <c r="L54" s="530">
        <v>633.3049931414339</v>
      </c>
      <c r="M54" s="530">
        <v>791.14968426919393</v>
      </c>
      <c r="N54" s="530">
        <v>865.19645610897498</v>
      </c>
      <c r="O54" s="530">
        <v>985.04034653398458</v>
      </c>
      <c r="P54" s="530">
        <v>598.39609838370143</v>
      </c>
      <c r="Q54" s="530">
        <v>563.08106746183887</v>
      </c>
      <c r="R54" s="530">
        <v>304.89838175318317</v>
      </c>
      <c r="S54" s="530">
        <v>211.44348473951226</v>
      </c>
      <c r="T54" s="530">
        <v>6587.7988231260706</v>
      </c>
      <c r="U54" s="530" t="s">
        <v>61</v>
      </c>
    </row>
    <row r="55" spans="1:21" ht="13.8" x14ac:dyDescent="0.3">
      <c r="A55" s="530" t="str">
        <f t="shared" si="0"/>
        <v>North Wales.2011.Accommodation.Serviced Accommodation</v>
      </c>
      <c r="B55" s="530" t="s">
        <v>220</v>
      </c>
      <c r="C55" s="530" t="str">
        <f t="shared" si="1"/>
        <v>2011.Accommodation.Serviced Accommodation</v>
      </c>
      <c r="D55" s="530" t="s">
        <v>219</v>
      </c>
      <c r="E55" s="662" t="s">
        <v>23</v>
      </c>
      <c r="F55" s="662" t="s">
        <v>43</v>
      </c>
      <c r="G55" s="662" t="s">
        <v>43</v>
      </c>
      <c r="H55" s="530">
        <v>24191</v>
      </c>
      <c r="I55" s="530">
        <v>25272</v>
      </c>
      <c r="J55" s="530">
        <v>26553</v>
      </c>
      <c r="K55" s="530">
        <v>29714</v>
      </c>
      <c r="L55" s="530">
        <v>29803</v>
      </c>
      <c r="M55" s="530">
        <v>29830</v>
      </c>
      <c r="N55" s="530">
        <v>29855</v>
      </c>
      <c r="O55" s="530">
        <v>29855</v>
      </c>
      <c r="P55" s="530">
        <v>29845</v>
      </c>
      <c r="Q55" s="530">
        <v>29481</v>
      </c>
      <c r="R55" s="530">
        <v>26255</v>
      </c>
      <c r="S55" s="530">
        <v>25112</v>
      </c>
      <c r="T55" s="530">
        <v>29855</v>
      </c>
      <c r="U55" s="530" t="s">
        <v>58</v>
      </c>
    </row>
    <row r="56" spans="1:21" ht="13.8" x14ac:dyDescent="0.3">
      <c r="A56" s="530" t="str">
        <f t="shared" si="0"/>
        <v>North Wales.2011.Accommodation.Non-Serviced Accommodation</v>
      </c>
      <c r="B56" s="530" t="s">
        <v>220</v>
      </c>
      <c r="C56" s="530" t="str">
        <f t="shared" si="1"/>
        <v>2011.Accommodation.Non-Serviced Accommodation</v>
      </c>
      <c r="D56" s="530" t="s">
        <v>219</v>
      </c>
      <c r="E56" s="662" t="s">
        <v>23</v>
      </c>
      <c r="F56" s="662" t="s">
        <v>48</v>
      </c>
      <c r="G56" s="662" t="s">
        <v>48</v>
      </c>
      <c r="H56" s="530">
        <v>62955.987248451085</v>
      </c>
      <c r="I56" s="530">
        <v>63667.557596408718</v>
      </c>
      <c r="J56" s="530">
        <v>132383.86141512287</v>
      </c>
      <c r="K56" s="530">
        <v>219052.79041027627</v>
      </c>
      <c r="L56" s="530">
        <v>219858.04820541554</v>
      </c>
      <c r="M56" s="530">
        <v>220822.90425464121</v>
      </c>
      <c r="N56" s="530">
        <v>221304</v>
      </c>
      <c r="O56" s="530">
        <v>221304</v>
      </c>
      <c r="P56" s="530">
        <v>219189.98055390263</v>
      </c>
      <c r="Q56" s="530">
        <v>214823.07546365776</v>
      </c>
      <c r="R56" s="530">
        <v>100093.14026769064</v>
      </c>
      <c r="S56" s="530">
        <v>73211.523991061782</v>
      </c>
      <c r="T56" s="530">
        <v>222246</v>
      </c>
      <c r="U56" s="530" t="s">
        <v>58</v>
      </c>
    </row>
    <row r="57" spans="1:21" ht="13.8" x14ac:dyDescent="0.3">
      <c r="A57" s="530" t="str">
        <f t="shared" si="0"/>
        <v>North Wales.2011.Accommodation.Total</v>
      </c>
      <c r="B57" s="530" t="s">
        <v>220</v>
      </c>
      <c r="C57" s="530" t="str">
        <f t="shared" si="1"/>
        <v>2011.Accommodation.Total</v>
      </c>
      <c r="D57" s="530" t="s">
        <v>219</v>
      </c>
      <c r="E57" s="662" t="s">
        <v>23</v>
      </c>
      <c r="F57" s="662" t="s">
        <v>54</v>
      </c>
      <c r="G57" s="662" t="s">
        <v>54</v>
      </c>
      <c r="H57" s="530">
        <v>87146.987248451085</v>
      </c>
      <c r="I57" s="530">
        <v>88939.557596408718</v>
      </c>
      <c r="J57" s="530">
        <v>158936.86141512287</v>
      </c>
      <c r="K57" s="530">
        <v>248766.79041027627</v>
      </c>
      <c r="L57" s="530">
        <v>249661.04820541554</v>
      </c>
      <c r="M57" s="530">
        <v>250652.90425464121</v>
      </c>
      <c r="N57" s="530">
        <v>251159</v>
      </c>
      <c r="O57" s="530">
        <v>251159</v>
      </c>
      <c r="P57" s="530">
        <v>249034.98055390263</v>
      </c>
      <c r="Q57" s="530">
        <v>244304.07546365776</v>
      </c>
      <c r="R57" s="530">
        <v>126348.14026769064</v>
      </c>
      <c r="S57" s="530">
        <v>98323.523991061782</v>
      </c>
      <c r="T57" s="530">
        <v>252038</v>
      </c>
      <c r="U57" s="530" t="s">
        <v>58</v>
      </c>
    </row>
    <row r="58" spans="1:21" ht="13.8" x14ac:dyDescent="0.3">
      <c r="A58" s="530" t="str">
        <f t="shared" si="0"/>
        <v>North Wales.2011.Economic Impact.Total</v>
      </c>
      <c r="B58" s="530" t="s">
        <v>220</v>
      </c>
      <c r="C58" s="530" t="str">
        <f t="shared" si="1"/>
        <v>2011.Economic Impact.Total</v>
      </c>
      <c r="D58" s="530" t="s">
        <v>219</v>
      </c>
      <c r="E58" s="662" t="s">
        <v>17</v>
      </c>
      <c r="F58" s="662" t="s">
        <v>54</v>
      </c>
      <c r="G58" s="662" t="s">
        <v>54</v>
      </c>
      <c r="H58" s="530">
        <v>60339.024252232004</v>
      </c>
      <c r="I58" s="530">
        <v>71804.296927432937</v>
      </c>
      <c r="J58" s="530">
        <v>109763.76324075091</v>
      </c>
      <c r="K58" s="530">
        <v>263128.499439982</v>
      </c>
      <c r="L58" s="530">
        <v>258534.18231755093</v>
      </c>
      <c r="M58" s="530">
        <v>281873.9407417255</v>
      </c>
      <c r="N58" s="530">
        <v>369089.95560167747</v>
      </c>
      <c r="O58" s="530">
        <v>407462.76434296876</v>
      </c>
      <c r="P58" s="530">
        <v>276859.37490202795</v>
      </c>
      <c r="Q58" s="530">
        <v>189979.82268760994</v>
      </c>
      <c r="R58" s="530">
        <v>85378.814155042928</v>
      </c>
      <c r="S58" s="530">
        <v>67313.092038402159</v>
      </c>
      <c r="T58" s="530">
        <v>2441527.5306474036</v>
      </c>
      <c r="U58" s="530" t="s">
        <v>57</v>
      </c>
    </row>
    <row r="59" spans="1:21" ht="13.8" x14ac:dyDescent="0.3">
      <c r="A59" s="530" t="str">
        <f t="shared" si="0"/>
        <v>North Wales.2012.Economic Impact.Indirect Expenditure</v>
      </c>
      <c r="B59" s="530" t="s">
        <v>220</v>
      </c>
      <c r="C59" s="530" t="str">
        <f t="shared" si="1"/>
        <v>2012.Economic Impact.Indirect Expenditure</v>
      </c>
      <c r="D59" s="530" t="s">
        <v>229</v>
      </c>
      <c r="E59" s="530" t="s">
        <v>17</v>
      </c>
      <c r="F59" s="530" t="s">
        <v>45</v>
      </c>
      <c r="G59" s="530" t="s">
        <v>45</v>
      </c>
      <c r="H59" s="530">
        <v>14557.768683876986</v>
      </c>
      <c r="I59" s="530">
        <v>18291.652596857704</v>
      </c>
      <c r="J59" s="530">
        <v>30773.076005524461</v>
      </c>
      <c r="K59" s="530">
        <v>58760.203495816764</v>
      </c>
      <c r="L59" s="530">
        <v>58592.298061312991</v>
      </c>
      <c r="M59" s="530">
        <v>71674.734384409516</v>
      </c>
      <c r="N59" s="530">
        <v>91145.774508768372</v>
      </c>
      <c r="O59" s="530">
        <v>104453.70032595117</v>
      </c>
      <c r="P59" s="530">
        <v>71623.879815857072</v>
      </c>
      <c r="Q59" s="530">
        <v>52492.728246100065</v>
      </c>
      <c r="R59" s="530">
        <v>21749.7002119801</v>
      </c>
      <c r="S59" s="530">
        <v>17996.353673556641</v>
      </c>
      <c r="T59" s="530">
        <v>612111.87001001183</v>
      </c>
      <c r="U59" s="530" t="s">
        <v>57</v>
      </c>
    </row>
    <row r="60" spans="1:21" ht="13.8" x14ac:dyDescent="0.3">
      <c r="A60" s="530" t="str">
        <f t="shared" si="0"/>
        <v>North Wales.2012.Economic Impact.Direct Revenue</v>
      </c>
      <c r="B60" s="530" t="s">
        <v>220</v>
      </c>
      <c r="C60" s="530" t="str">
        <f t="shared" si="1"/>
        <v>2012.Economic Impact.Direct Revenue</v>
      </c>
      <c r="D60" s="530" t="s">
        <v>229</v>
      </c>
      <c r="E60" s="530" t="s">
        <v>17</v>
      </c>
      <c r="F60" s="530" t="s">
        <v>46</v>
      </c>
      <c r="G60" s="530" t="s">
        <v>46</v>
      </c>
      <c r="H60" s="530">
        <v>37288.697992294859</v>
      </c>
      <c r="I60" s="530">
        <v>46644.014636915243</v>
      </c>
      <c r="J60" s="530">
        <v>77256.179455217338</v>
      </c>
      <c r="K60" s="530">
        <v>146176.09766821569</v>
      </c>
      <c r="L60" s="530">
        <v>146786.09723848605</v>
      </c>
      <c r="M60" s="530">
        <v>177342.67828126834</v>
      </c>
      <c r="N60" s="530">
        <v>226508.82142995053</v>
      </c>
      <c r="O60" s="530">
        <v>260730.98498792746</v>
      </c>
      <c r="P60" s="530">
        <v>179271.47490045635</v>
      </c>
      <c r="Q60" s="530">
        <v>130571.19636089125</v>
      </c>
      <c r="R60" s="530">
        <v>55540.184327724135</v>
      </c>
      <c r="S60" s="530">
        <v>45967.57192110808</v>
      </c>
      <c r="T60" s="530">
        <v>1530083.9992004551</v>
      </c>
      <c r="U60" s="530" t="s">
        <v>57</v>
      </c>
    </row>
    <row r="61" spans="1:21" ht="13.8" x14ac:dyDescent="0.3">
      <c r="A61" s="530" t="str">
        <f t="shared" si="0"/>
        <v>North Wales.2012.Economic Impact.VAT</v>
      </c>
      <c r="B61" s="530" t="s">
        <v>220</v>
      </c>
      <c r="C61" s="530" t="str">
        <f t="shared" si="1"/>
        <v>2012.Economic Impact.VAT</v>
      </c>
      <c r="D61" s="530" t="s">
        <v>229</v>
      </c>
      <c r="E61" s="530" t="s">
        <v>17</v>
      </c>
      <c r="F61" s="530" t="s">
        <v>47</v>
      </c>
      <c r="G61" s="530" t="s">
        <v>47</v>
      </c>
      <c r="H61" s="530">
        <v>7457.7395984589721</v>
      </c>
      <c r="I61" s="530">
        <v>9328.8029273830471</v>
      </c>
      <c r="J61" s="530">
        <v>15451.235891043469</v>
      </c>
      <c r="K61" s="530">
        <v>29235.219533643136</v>
      </c>
      <c r="L61" s="530">
        <v>29357.219447697214</v>
      </c>
      <c r="M61" s="530">
        <v>35468.535656253669</v>
      </c>
      <c r="N61" s="530">
        <v>45301.764285990117</v>
      </c>
      <c r="O61" s="530">
        <v>52146.196997585495</v>
      </c>
      <c r="P61" s="530">
        <v>35854.294980091276</v>
      </c>
      <c r="Q61" s="530">
        <v>26114.239272178253</v>
      </c>
      <c r="R61" s="530">
        <v>11108.036865544827</v>
      </c>
      <c r="S61" s="530">
        <v>9193.5143842216166</v>
      </c>
      <c r="T61" s="530">
        <v>306016.79984009115</v>
      </c>
      <c r="U61" s="530" t="s">
        <v>57</v>
      </c>
    </row>
    <row r="62" spans="1:21" ht="13.8" x14ac:dyDescent="0.3">
      <c r="A62" s="530" t="str">
        <f t="shared" si="0"/>
        <v>North Wales.2012.Economic Impact.Serviced Accommodation</v>
      </c>
      <c r="B62" s="530" t="s">
        <v>220</v>
      </c>
      <c r="C62" s="530" t="str">
        <f t="shared" si="1"/>
        <v>2012.Economic Impact.Serviced Accommodation</v>
      </c>
      <c r="D62" s="530" t="s">
        <v>229</v>
      </c>
      <c r="E62" s="530" t="s">
        <v>17</v>
      </c>
      <c r="F62" s="530" t="s">
        <v>43</v>
      </c>
      <c r="G62" s="530" t="s">
        <v>43</v>
      </c>
      <c r="H62" s="530">
        <v>14393.162864212376</v>
      </c>
      <c r="I62" s="530">
        <v>21279.089497764075</v>
      </c>
      <c r="J62" s="530">
        <v>25986.780897133802</v>
      </c>
      <c r="K62" s="530">
        <v>33663.218778011142</v>
      </c>
      <c r="L62" s="530">
        <v>39572.972839884569</v>
      </c>
      <c r="M62" s="530">
        <v>42123.438836315217</v>
      </c>
      <c r="N62" s="530">
        <v>56979.963968391239</v>
      </c>
      <c r="O62" s="530">
        <v>73482.002374739925</v>
      </c>
      <c r="P62" s="530">
        <v>57474.44912144226</v>
      </c>
      <c r="Q62" s="530">
        <v>33388.852019311409</v>
      </c>
      <c r="R62" s="530">
        <v>24743.183933627843</v>
      </c>
      <c r="S62" s="530">
        <v>19455.616812161938</v>
      </c>
      <c r="T62" s="530">
        <v>442542.7319429958</v>
      </c>
      <c r="U62" s="530" t="s">
        <v>57</v>
      </c>
    </row>
    <row r="63" spans="1:21" ht="13.8" x14ac:dyDescent="0.3">
      <c r="A63" s="530" t="str">
        <f t="shared" si="0"/>
        <v>North Wales.2012.Economic Impact.Non-Serviced Accommodation</v>
      </c>
      <c r="B63" s="530" t="s">
        <v>220</v>
      </c>
      <c r="C63" s="530" t="str">
        <f t="shared" si="1"/>
        <v>2012.Economic Impact.Non-Serviced Accommodation</v>
      </c>
      <c r="D63" s="530" t="s">
        <v>229</v>
      </c>
      <c r="E63" s="530" t="s">
        <v>17</v>
      </c>
      <c r="F63" s="530" t="s">
        <v>48</v>
      </c>
      <c r="G63" s="530" t="s">
        <v>48</v>
      </c>
      <c r="H63" s="530">
        <v>15190.223952543032</v>
      </c>
      <c r="I63" s="530">
        <v>20473.811560761827</v>
      </c>
      <c r="J63" s="530">
        <v>54174.037646114128</v>
      </c>
      <c r="K63" s="530">
        <v>119592.20143357919</v>
      </c>
      <c r="L63" s="530">
        <v>124000.27776769572</v>
      </c>
      <c r="M63" s="530">
        <v>164809.13238669233</v>
      </c>
      <c r="N63" s="530">
        <v>204436.7889203669</v>
      </c>
      <c r="O63" s="530">
        <v>225894.7641038814</v>
      </c>
      <c r="P63" s="530">
        <v>164195.95285165391</v>
      </c>
      <c r="Q63" s="530">
        <v>121177.81689781109</v>
      </c>
      <c r="R63" s="530">
        <v>36208.262097734158</v>
      </c>
      <c r="S63" s="530">
        <v>23869.073642715743</v>
      </c>
      <c r="T63" s="530">
        <v>1274022.3432615495</v>
      </c>
      <c r="U63" s="530" t="s">
        <v>57</v>
      </c>
    </row>
    <row r="64" spans="1:21" ht="13.8" x14ac:dyDescent="0.3">
      <c r="A64" s="530" t="str">
        <f t="shared" si="0"/>
        <v>North Wales.2012.Economic Impact.SFR</v>
      </c>
      <c r="B64" s="530" t="s">
        <v>220</v>
      </c>
      <c r="C64" s="530" t="str">
        <f t="shared" si="1"/>
        <v>2012.Economic Impact.SFR</v>
      </c>
      <c r="D64" s="530" t="s">
        <v>229</v>
      </c>
      <c r="E64" s="530" t="s">
        <v>17</v>
      </c>
      <c r="F64" s="530" t="s">
        <v>18</v>
      </c>
      <c r="G64" s="530" t="s">
        <v>18</v>
      </c>
      <c r="H64" s="530">
        <v>12291.755628953833</v>
      </c>
      <c r="I64" s="530">
        <v>4130.0298913284878</v>
      </c>
      <c r="J64" s="530">
        <v>4698.1821515112424</v>
      </c>
      <c r="K64" s="530">
        <v>11210.081133605896</v>
      </c>
      <c r="L64" s="530">
        <v>7211.1633023195818</v>
      </c>
      <c r="M64" s="530">
        <v>5554.890203836816</v>
      </c>
      <c r="N64" s="530">
        <v>9013.9541278994784</v>
      </c>
      <c r="O64" s="530">
        <v>9542.1172097693707</v>
      </c>
      <c r="P64" s="530">
        <v>4914.9650167859745</v>
      </c>
      <c r="Q64" s="530">
        <v>4910.1466485794244</v>
      </c>
      <c r="R64" s="530">
        <v>3826.0138021056955</v>
      </c>
      <c r="S64" s="530">
        <v>11078.969073563721</v>
      </c>
      <c r="T64" s="530">
        <v>88382.268190259521</v>
      </c>
      <c r="U64" s="530" t="s">
        <v>57</v>
      </c>
    </row>
    <row r="65" spans="1:21" ht="13.8" x14ac:dyDescent="0.3">
      <c r="A65" s="530" t="str">
        <f t="shared" si="0"/>
        <v>North Wales.2012.Economic Impact.Day Visitor</v>
      </c>
      <c r="B65" s="530" t="s">
        <v>220</v>
      </c>
      <c r="C65" s="530" t="str">
        <f t="shared" si="1"/>
        <v>2012.Economic Impact.Day Visitor</v>
      </c>
      <c r="D65" s="530" t="s">
        <v>229</v>
      </c>
      <c r="E65" s="530" t="s">
        <v>17</v>
      </c>
      <c r="F65" s="530" t="s">
        <v>71</v>
      </c>
      <c r="G65" s="530" t="s">
        <v>71</v>
      </c>
      <c r="H65" s="530">
        <v>17429.063828921575</v>
      </c>
      <c r="I65" s="530">
        <v>28381.539211301602</v>
      </c>
      <c r="J65" s="530">
        <v>38621.490657026094</v>
      </c>
      <c r="K65" s="530">
        <v>69706.019352479358</v>
      </c>
      <c r="L65" s="530">
        <v>63951.2008375964</v>
      </c>
      <c r="M65" s="530">
        <v>71998.486895087146</v>
      </c>
      <c r="N65" s="530">
        <v>92525.65320805143</v>
      </c>
      <c r="O65" s="530">
        <v>108411.99862307342</v>
      </c>
      <c r="P65" s="530">
        <v>60164.282706522506</v>
      </c>
      <c r="Q65" s="530">
        <v>49701.348313467621</v>
      </c>
      <c r="R65" s="530">
        <v>23620.461571781358</v>
      </c>
      <c r="S65" s="530">
        <v>18753.78045044493</v>
      </c>
      <c r="T65" s="530">
        <v>643265.32565575361</v>
      </c>
      <c r="U65" s="530" t="s">
        <v>57</v>
      </c>
    </row>
    <row r="66" spans="1:21" ht="13.8" x14ac:dyDescent="0.3">
      <c r="A66" s="530" t="str">
        <f t="shared" si="0"/>
        <v>North Wales.2012.Economic Impact.Accommodation</v>
      </c>
      <c r="B66" s="530" t="s">
        <v>220</v>
      </c>
      <c r="C66" s="530" t="str">
        <f t="shared" si="1"/>
        <v>2012.Economic Impact.Accommodation</v>
      </c>
      <c r="D66" s="530" t="s">
        <v>229</v>
      </c>
      <c r="E66" s="530" t="s">
        <v>17</v>
      </c>
      <c r="F66" s="530" t="s">
        <v>23</v>
      </c>
      <c r="G66" s="530" t="s">
        <v>23</v>
      </c>
      <c r="H66" s="530">
        <v>6887.8318284279812</v>
      </c>
      <c r="I66" s="530">
        <v>10177.265815764118</v>
      </c>
      <c r="J66" s="530">
        <v>14772.269381184011</v>
      </c>
      <c r="K66" s="530">
        <v>21804.152411589952</v>
      </c>
      <c r="L66" s="530">
        <v>23280.089485645844</v>
      </c>
      <c r="M66" s="530">
        <v>28385.904270249088</v>
      </c>
      <c r="N66" s="530">
        <v>48318.369491553727</v>
      </c>
      <c r="O66" s="530">
        <v>58325.744346805703</v>
      </c>
      <c r="P66" s="530">
        <v>48059.430424241866</v>
      </c>
      <c r="Q66" s="530">
        <v>22162.548473170307</v>
      </c>
      <c r="R66" s="530">
        <v>12729.847157069009</v>
      </c>
      <c r="S66" s="530">
        <v>10013.515772496014</v>
      </c>
      <c r="T66" s="530">
        <v>304916.96885819762</v>
      </c>
      <c r="U66" s="530" t="s">
        <v>57</v>
      </c>
    </row>
    <row r="67" spans="1:21" ht="13.8" x14ac:dyDescent="0.3">
      <c r="A67" s="530" t="str">
        <f t="shared" si="0"/>
        <v>North Wales.2012.Economic Impact.Food &amp; Drink</v>
      </c>
      <c r="B67" s="530" t="s">
        <v>220</v>
      </c>
      <c r="C67" s="530" t="str">
        <f t="shared" si="1"/>
        <v>2012.Economic Impact.Food &amp; Drink</v>
      </c>
      <c r="D67" s="530" t="s">
        <v>229</v>
      </c>
      <c r="E67" s="530" t="s">
        <v>17</v>
      </c>
      <c r="F67" s="530" t="s">
        <v>49</v>
      </c>
      <c r="G67" s="530" t="s">
        <v>49</v>
      </c>
      <c r="H67" s="530">
        <v>10276.319229716573</v>
      </c>
      <c r="I67" s="530">
        <v>11234.996754542095</v>
      </c>
      <c r="J67" s="530">
        <v>20280.445878661591</v>
      </c>
      <c r="K67" s="530">
        <v>39387.862620106142</v>
      </c>
      <c r="L67" s="530">
        <v>39695.750270549572</v>
      </c>
      <c r="M67" s="530">
        <v>46901.090060790913</v>
      </c>
      <c r="N67" s="530">
        <v>56960.296515172049</v>
      </c>
      <c r="O67" s="530">
        <v>64071.332967696435</v>
      </c>
      <c r="P67" s="530">
        <v>42195.451948198883</v>
      </c>
      <c r="Q67" s="530">
        <v>35223.063332121244</v>
      </c>
      <c r="R67" s="530">
        <v>14135.681809178184</v>
      </c>
      <c r="S67" s="530">
        <v>12043.948519746838</v>
      </c>
      <c r="T67" s="530">
        <v>392406.23990648048</v>
      </c>
      <c r="U67" s="530" t="s">
        <v>57</v>
      </c>
    </row>
    <row r="68" spans="1:21" ht="13.8" x14ac:dyDescent="0.3">
      <c r="A68" s="530" t="str">
        <f t="shared" si="0"/>
        <v>North Wales.2012.Economic Impact.Recreation</v>
      </c>
      <c r="B68" s="530" t="s">
        <v>220</v>
      </c>
      <c r="C68" s="530" t="str">
        <f t="shared" si="1"/>
        <v>2012.Economic Impact.Recreation</v>
      </c>
      <c r="D68" s="530" t="s">
        <v>229</v>
      </c>
      <c r="E68" s="530" t="s">
        <v>17</v>
      </c>
      <c r="F68" s="530" t="s">
        <v>50</v>
      </c>
      <c r="G68" s="530" t="s">
        <v>50</v>
      </c>
      <c r="H68" s="530">
        <v>2884.5501971024305</v>
      </c>
      <c r="I68" s="530">
        <v>3586.6774494696274</v>
      </c>
      <c r="J68" s="530">
        <v>5990.639060370072</v>
      </c>
      <c r="K68" s="530">
        <v>13155.906162282334</v>
      </c>
      <c r="L68" s="530">
        <v>12878.093407816597</v>
      </c>
      <c r="M68" s="530">
        <v>16853.944149164803</v>
      </c>
      <c r="N68" s="530">
        <v>19405.633908716263</v>
      </c>
      <c r="O68" s="530">
        <v>22206.971136711414</v>
      </c>
      <c r="P68" s="530">
        <v>14635.802256372352</v>
      </c>
      <c r="Q68" s="530">
        <v>11988.275826076513</v>
      </c>
      <c r="R68" s="530">
        <v>4474.5938196439174</v>
      </c>
      <c r="S68" s="530">
        <v>3631.8506641841527</v>
      </c>
      <c r="T68" s="530">
        <v>131692.93803791047</v>
      </c>
      <c r="U68" s="530" t="s">
        <v>57</v>
      </c>
    </row>
    <row r="69" spans="1:21" ht="13.8" x14ac:dyDescent="0.3">
      <c r="A69" s="530" t="str">
        <f t="shared" si="0"/>
        <v>North Wales.2012.Economic Impact.Shopping</v>
      </c>
      <c r="B69" s="530" t="s">
        <v>220</v>
      </c>
      <c r="C69" s="530" t="str">
        <f t="shared" si="1"/>
        <v>2012.Economic Impact.Shopping</v>
      </c>
      <c r="D69" s="530" t="s">
        <v>229</v>
      </c>
      <c r="E69" s="530" t="s">
        <v>17</v>
      </c>
      <c r="F69" s="530" t="s">
        <v>51</v>
      </c>
      <c r="G69" s="530" t="s">
        <v>51</v>
      </c>
      <c r="H69" s="530">
        <v>13260.144279986913</v>
      </c>
      <c r="I69" s="530">
        <v>16654.527757685322</v>
      </c>
      <c r="J69" s="530">
        <v>27527.461275884081</v>
      </c>
      <c r="K69" s="530">
        <v>53865.239819167873</v>
      </c>
      <c r="L69" s="530">
        <v>52930.057814726635</v>
      </c>
      <c r="M69" s="530">
        <v>63102.872419287894</v>
      </c>
      <c r="N69" s="530">
        <v>75748.883076915503</v>
      </c>
      <c r="O69" s="530">
        <v>86417.86439324604</v>
      </c>
      <c r="P69" s="530">
        <v>55055.205741778183</v>
      </c>
      <c r="Q69" s="530">
        <v>45350.263660506222</v>
      </c>
      <c r="R69" s="530">
        <v>18204.618798039541</v>
      </c>
      <c r="S69" s="530">
        <v>15437.222242371856</v>
      </c>
      <c r="T69" s="530">
        <v>523554.36127959605</v>
      </c>
      <c r="U69" s="530" t="s">
        <v>57</v>
      </c>
    </row>
    <row r="70" spans="1:21" ht="13.8" x14ac:dyDescent="0.3">
      <c r="A70" s="530" t="str">
        <f t="shared" si="0"/>
        <v>North Wales.2012.Economic Impact.Transport</v>
      </c>
      <c r="B70" s="530" t="s">
        <v>220</v>
      </c>
      <c r="C70" s="530" t="str">
        <f t="shared" si="1"/>
        <v>2012.Economic Impact.Transport</v>
      </c>
      <c r="D70" s="530" t="s">
        <v>229</v>
      </c>
      <c r="E70" s="530" t="s">
        <v>17</v>
      </c>
      <c r="F70" s="530" t="s">
        <v>52</v>
      </c>
      <c r="G70" s="530" t="s">
        <v>52</v>
      </c>
      <c r="H70" s="530">
        <v>3979.8524570609616</v>
      </c>
      <c r="I70" s="530">
        <v>4990.5468594540725</v>
      </c>
      <c r="J70" s="530">
        <v>8685.3638591175877</v>
      </c>
      <c r="K70" s="530">
        <v>17962.936655069392</v>
      </c>
      <c r="L70" s="530">
        <v>18002.10625974743</v>
      </c>
      <c r="M70" s="530">
        <v>22098.867381775643</v>
      </c>
      <c r="N70" s="530">
        <v>26075.638437593017</v>
      </c>
      <c r="O70" s="530">
        <v>29709.072143467867</v>
      </c>
      <c r="P70" s="530">
        <v>19325.584529865064</v>
      </c>
      <c r="Q70" s="530">
        <v>15847.045069016951</v>
      </c>
      <c r="R70" s="530">
        <v>5995.4427437934792</v>
      </c>
      <c r="S70" s="530">
        <v>4841.0347223092185</v>
      </c>
      <c r="T70" s="530">
        <v>177513.49111827067</v>
      </c>
      <c r="U70" s="530" t="s">
        <v>57</v>
      </c>
    </row>
    <row r="71" spans="1:21" ht="13.8" x14ac:dyDescent="0.3">
      <c r="A71" s="530" t="str">
        <f t="shared" si="0"/>
        <v>North Wales.2012.Economic Impact.Direct Expenditure</v>
      </c>
      <c r="B71" s="530" t="s">
        <v>220</v>
      </c>
      <c r="C71" s="530" t="str">
        <f t="shared" si="1"/>
        <v>2012.Economic Impact.Direct Expenditure</v>
      </c>
      <c r="D71" s="530" t="s">
        <v>229</v>
      </c>
      <c r="E71" s="530" t="s">
        <v>17</v>
      </c>
      <c r="F71" s="530" t="s">
        <v>44</v>
      </c>
      <c r="G71" s="530" t="s">
        <v>44</v>
      </c>
      <c r="H71" s="530">
        <v>44746.437590753834</v>
      </c>
      <c r="I71" s="530">
        <v>55972.817564298282</v>
      </c>
      <c r="J71" s="530">
        <v>92707.415346260808</v>
      </c>
      <c r="K71" s="530">
        <v>175411.31720185879</v>
      </c>
      <c r="L71" s="530">
        <v>176143.31668618327</v>
      </c>
      <c r="M71" s="530">
        <v>212811.213937522</v>
      </c>
      <c r="N71" s="530">
        <v>271810.58571594069</v>
      </c>
      <c r="O71" s="530">
        <v>312877.18198551296</v>
      </c>
      <c r="P71" s="530">
        <v>215125.7698805476</v>
      </c>
      <c r="Q71" s="530">
        <v>156685.43563306949</v>
      </c>
      <c r="R71" s="530">
        <v>66648.221193268968</v>
      </c>
      <c r="S71" s="530">
        <v>55161.086305329693</v>
      </c>
      <c r="T71" s="530">
        <v>1836100.7990405462</v>
      </c>
      <c r="U71" s="530" t="s">
        <v>57</v>
      </c>
    </row>
    <row r="72" spans="1:21" ht="13.8" x14ac:dyDescent="0.3">
      <c r="A72" s="530" t="str">
        <f t="shared" si="0"/>
        <v>North Wales.2012.Population.Total</v>
      </c>
      <c r="B72" s="530" t="s">
        <v>220</v>
      </c>
      <c r="C72" s="530" t="str">
        <f t="shared" si="1"/>
        <v>2012.Population.Total</v>
      </c>
      <c r="D72" s="530" t="s">
        <v>229</v>
      </c>
      <c r="E72" s="530" t="s">
        <v>19</v>
      </c>
      <c r="F72" s="530" t="s">
        <v>54</v>
      </c>
      <c r="G72" s="530" t="s">
        <v>54</v>
      </c>
      <c r="H72" s="530">
        <v>687800</v>
      </c>
      <c r="I72" s="530">
        <v>687800</v>
      </c>
      <c r="J72" s="530">
        <v>687800</v>
      </c>
      <c r="K72" s="530">
        <v>687800</v>
      </c>
      <c r="L72" s="530">
        <v>687800</v>
      </c>
      <c r="M72" s="530">
        <v>687800</v>
      </c>
      <c r="N72" s="530">
        <v>687800</v>
      </c>
      <c r="O72" s="530">
        <v>687800</v>
      </c>
      <c r="P72" s="530">
        <v>687800</v>
      </c>
      <c r="Q72" s="530">
        <v>687800</v>
      </c>
      <c r="R72" s="530">
        <v>687800</v>
      </c>
      <c r="S72" s="530">
        <v>687800</v>
      </c>
      <c r="T72" s="530">
        <v>687800</v>
      </c>
      <c r="U72" s="530" t="s">
        <v>60</v>
      </c>
    </row>
    <row r="73" spans="1:21" ht="13.8" x14ac:dyDescent="0.3">
      <c r="A73" s="530" t="str">
        <f t="shared" ref="A73:A136" si="2">B73&amp;"."&amp;D73&amp;"."&amp;E73&amp;"."&amp;F73</f>
        <v>North Wales.2012.Employment.Serviced Accommodation</v>
      </c>
      <c r="B73" s="530" t="s">
        <v>220</v>
      </c>
      <c r="C73" s="530" t="str">
        <f t="shared" ref="C73:C136" si="3">D73&amp;"."&amp;E73&amp;"."&amp;F73</f>
        <v>2012.Employment.Serviced Accommodation</v>
      </c>
      <c r="D73" s="530" t="s">
        <v>229</v>
      </c>
      <c r="E73" s="530" t="s">
        <v>20</v>
      </c>
      <c r="F73" s="530" t="s">
        <v>43</v>
      </c>
      <c r="G73" s="530" t="s">
        <v>43</v>
      </c>
      <c r="H73" s="530">
        <v>5998.1502019901482</v>
      </c>
      <c r="I73" s="530">
        <v>6683.0557298410358</v>
      </c>
      <c r="J73" s="530">
        <v>7265.0288188764825</v>
      </c>
      <c r="K73" s="530">
        <v>8722.3763182141574</v>
      </c>
      <c r="L73" s="530">
        <v>9122.4059554300948</v>
      </c>
      <c r="M73" s="530">
        <v>9310.1453667299338</v>
      </c>
      <c r="N73" s="530">
        <v>9168.4232596673883</v>
      </c>
      <c r="O73" s="530">
        <v>10014.22202486592</v>
      </c>
      <c r="P73" s="530">
        <v>9152.8265841545945</v>
      </c>
      <c r="Q73" s="530">
        <v>8655.6659333948228</v>
      </c>
      <c r="R73" s="530">
        <v>7071.7757286636643</v>
      </c>
      <c r="S73" s="530">
        <v>6506.758022432482</v>
      </c>
      <c r="T73" s="530">
        <v>8139.2361620217262</v>
      </c>
      <c r="U73" s="530" t="s">
        <v>59</v>
      </c>
    </row>
    <row r="74" spans="1:21" ht="13.8" x14ac:dyDescent="0.3">
      <c r="A74" s="530" t="str">
        <f t="shared" si="2"/>
        <v>North Wales.2012.Employment.Non-Serviced Accommodation</v>
      </c>
      <c r="B74" s="530" t="s">
        <v>220</v>
      </c>
      <c r="C74" s="530" t="str">
        <f t="shared" si="3"/>
        <v>2012.Employment.Non-Serviced Accommodation</v>
      </c>
      <c r="D74" s="530" t="s">
        <v>229</v>
      </c>
      <c r="E74" s="530" t="s">
        <v>20</v>
      </c>
      <c r="F74" s="530" t="s">
        <v>48</v>
      </c>
      <c r="G74" s="530" t="s">
        <v>48</v>
      </c>
      <c r="H74" s="530">
        <v>3933.3123557614363</v>
      </c>
      <c r="I74" s="530">
        <v>4546.1133125370725</v>
      </c>
      <c r="J74" s="530">
        <v>9059.0459077636115</v>
      </c>
      <c r="K74" s="530">
        <v>18622.391141000571</v>
      </c>
      <c r="L74" s="530">
        <v>19471.713139706681</v>
      </c>
      <c r="M74" s="530">
        <v>24126.495272478118</v>
      </c>
      <c r="N74" s="530">
        <v>27496.884598669389</v>
      </c>
      <c r="O74" s="530">
        <v>30075.357516129829</v>
      </c>
      <c r="P74" s="530">
        <v>22055.846479420423</v>
      </c>
      <c r="Q74" s="530">
        <v>18668.963159585095</v>
      </c>
      <c r="R74" s="530">
        <v>6626.9385255040406</v>
      </c>
      <c r="S74" s="530">
        <v>4930.3997641547267</v>
      </c>
      <c r="T74" s="530">
        <v>15801.121764392581</v>
      </c>
      <c r="U74" s="530" t="s">
        <v>59</v>
      </c>
    </row>
    <row r="75" spans="1:21" ht="13.8" x14ac:dyDescent="0.3">
      <c r="A75" s="530" t="str">
        <f t="shared" si="2"/>
        <v>North Wales.2012.Employment.SFR</v>
      </c>
      <c r="B75" s="530" t="s">
        <v>220</v>
      </c>
      <c r="C75" s="530" t="str">
        <f t="shared" si="3"/>
        <v>2012.Employment.SFR</v>
      </c>
      <c r="D75" s="530" t="s">
        <v>229</v>
      </c>
      <c r="E75" s="530" t="s">
        <v>20</v>
      </c>
      <c r="F75" s="530" t="s">
        <v>18</v>
      </c>
      <c r="G75" s="530" t="s">
        <v>18</v>
      </c>
      <c r="H75" s="530">
        <v>1751.7202929726463</v>
      </c>
      <c r="I75" s="530">
        <v>588.57801843880907</v>
      </c>
      <c r="J75" s="530">
        <v>669.54642309176711</v>
      </c>
      <c r="K75" s="530">
        <v>1597.5689071910535</v>
      </c>
      <c r="L75" s="530">
        <v>1027.675905210619</v>
      </c>
      <c r="M75" s="530">
        <v>791.63743480019843</v>
      </c>
      <c r="N75" s="530">
        <v>1284.594881513274</v>
      </c>
      <c r="O75" s="530">
        <v>1359.8643561464273</v>
      </c>
      <c r="P75" s="530">
        <v>700.44054072098515</v>
      </c>
      <c r="Q75" s="530">
        <v>699.75386636613985</v>
      </c>
      <c r="R75" s="530">
        <v>545.25213652595232</v>
      </c>
      <c r="S75" s="530">
        <v>1578.8838907326788</v>
      </c>
      <c r="T75" s="530">
        <v>1049.6263878092127</v>
      </c>
      <c r="U75" s="530" t="s">
        <v>59</v>
      </c>
    </row>
    <row r="76" spans="1:21" ht="13.8" x14ac:dyDescent="0.3">
      <c r="A76" s="530" t="str">
        <f t="shared" si="2"/>
        <v>North Wales.2012.Employment.Day Visitor</v>
      </c>
      <c r="B76" s="530" t="s">
        <v>220</v>
      </c>
      <c r="C76" s="530" t="str">
        <f t="shared" si="3"/>
        <v>2012.Employment.Day Visitor</v>
      </c>
      <c r="D76" s="530" t="s">
        <v>229</v>
      </c>
      <c r="E76" s="530" t="s">
        <v>20</v>
      </c>
      <c r="F76" s="530" t="s">
        <v>71</v>
      </c>
      <c r="G76" s="530" t="s">
        <v>71</v>
      </c>
      <c r="H76" s="530">
        <v>2426.7958475162377</v>
      </c>
      <c r="I76" s="530">
        <v>3912.4098731295985</v>
      </c>
      <c r="J76" s="530">
        <v>5323.6377904833098</v>
      </c>
      <c r="K76" s="530">
        <v>9582.2942331657359</v>
      </c>
      <c r="L76" s="530">
        <v>8789.4881129226505</v>
      </c>
      <c r="M76" s="530">
        <v>9901.7246321695893</v>
      </c>
      <c r="N76" s="530">
        <v>12745.563103251505</v>
      </c>
      <c r="O76" s="530">
        <v>14920.828520974959</v>
      </c>
      <c r="P76" s="530">
        <v>8277.7837692070443</v>
      </c>
      <c r="Q76" s="530">
        <v>6859.512313737604</v>
      </c>
      <c r="R76" s="530">
        <v>3279.6659767065789</v>
      </c>
      <c r="S76" s="530">
        <v>2610.6106061848277</v>
      </c>
      <c r="T76" s="530">
        <v>7385.8595649541348</v>
      </c>
      <c r="U76" s="530" t="s">
        <v>59</v>
      </c>
    </row>
    <row r="77" spans="1:21" ht="13.8" x14ac:dyDescent="0.3">
      <c r="A77" s="530" t="str">
        <f t="shared" si="2"/>
        <v>North Wales.2012.Employment.Direct Employment</v>
      </c>
      <c r="B77" s="530" t="s">
        <v>220</v>
      </c>
      <c r="C77" s="530" t="str">
        <f t="shared" si="3"/>
        <v>2012.Employment.Direct Employment</v>
      </c>
      <c r="D77" s="530" t="s">
        <v>229</v>
      </c>
      <c r="E77" s="530" t="s">
        <v>20</v>
      </c>
      <c r="F77" s="530" t="s">
        <v>55</v>
      </c>
      <c r="G77" s="530" t="s">
        <v>55</v>
      </c>
      <c r="H77" s="530">
        <v>14109.978698240469</v>
      </c>
      <c r="I77" s="530">
        <v>15730.156933946515</v>
      </c>
      <c r="J77" s="530">
        <v>22317.258940215172</v>
      </c>
      <c r="K77" s="530">
        <v>38524.630599571516</v>
      </c>
      <c r="L77" s="530">
        <v>38411.283113270045</v>
      </c>
      <c r="M77" s="530">
        <v>44130.002706177838</v>
      </c>
      <c r="N77" s="530">
        <v>50695.465843101556</v>
      </c>
      <c r="O77" s="530">
        <v>56370.272418117136</v>
      </c>
      <c r="P77" s="530">
        <v>40186.897373503045</v>
      </c>
      <c r="Q77" s="530">
        <v>34883.895273083661</v>
      </c>
      <c r="R77" s="530">
        <v>17523.632367400234</v>
      </c>
      <c r="S77" s="530">
        <v>15626.652283504714</v>
      </c>
      <c r="T77" s="530">
        <v>32375.843879177657</v>
      </c>
      <c r="U77" s="530" t="s">
        <v>59</v>
      </c>
    </row>
    <row r="78" spans="1:21" ht="13.8" x14ac:dyDescent="0.3">
      <c r="A78" s="530" t="str">
        <f t="shared" si="2"/>
        <v>North Wales.2012.Employment.Indirect Employment</v>
      </c>
      <c r="B78" s="530" t="s">
        <v>220</v>
      </c>
      <c r="C78" s="530" t="str">
        <f t="shared" si="3"/>
        <v>2012.Employment.Indirect Employment</v>
      </c>
      <c r="D78" s="530" t="s">
        <v>229</v>
      </c>
      <c r="E78" s="530" t="s">
        <v>20</v>
      </c>
      <c r="F78" s="530" t="s">
        <v>53</v>
      </c>
      <c r="G78" s="530" t="s">
        <v>53</v>
      </c>
      <c r="H78" s="530">
        <v>2321.5160651657166</v>
      </c>
      <c r="I78" s="530">
        <v>2916.9556327038968</v>
      </c>
      <c r="J78" s="530">
        <v>4907.3585295054245</v>
      </c>
      <c r="K78" s="530">
        <v>9370.4440131010688</v>
      </c>
      <c r="L78" s="530">
        <v>9343.6682638709808</v>
      </c>
      <c r="M78" s="530">
        <v>11429.914223336778</v>
      </c>
      <c r="N78" s="530">
        <v>14534.945869034502</v>
      </c>
      <c r="O78" s="530">
        <v>16657.150462987134</v>
      </c>
      <c r="P78" s="530">
        <v>11421.804484787881</v>
      </c>
      <c r="Q78" s="530">
        <v>8370.9746029049638</v>
      </c>
      <c r="R78" s="530">
        <v>3468.4078000615013</v>
      </c>
      <c r="S78" s="530">
        <v>2869.864542760366</v>
      </c>
      <c r="T78" s="530">
        <v>8134.4170408516848</v>
      </c>
      <c r="U78" s="530" t="s">
        <v>59</v>
      </c>
    </row>
    <row r="79" spans="1:21" ht="13.8" x14ac:dyDescent="0.3">
      <c r="A79" s="530" t="str">
        <f t="shared" si="2"/>
        <v>North Wales.2012.Employment.Total</v>
      </c>
      <c r="B79" s="530" t="s">
        <v>220</v>
      </c>
      <c r="C79" s="530" t="str">
        <f t="shared" si="3"/>
        <v>2012.Employment.Total</v>
      </c>
      <c r="D79" s="530" t="s">
        <v>229</v>
      </c>
      <c r="E79" s="530" t="s">
        <v>20</v>
      </c>
      <c r="F79" s="530" t="s">
        <v>54</v>
      </c>
      <c r="G79" s="530" t="s">
        <v>54</v>
      </c>
      <c r="H79" s="530">
        <v>16431.494763406186</v>
      </c>
      <c r="I79" s="530">
        <v>18647.112566650412</v>
      </c>
      <c r="J79" s="530">
        <v>27224.617469720593</v>
      </c>
      <c r="K79" s="530">
        <v>47895.074612672586</v>
      </c>
      <c r="L79" s="530">
        <v>47754.951377141027</v>
      </c>
      <c r="M79" s="530">
        <v>55559.91692951462</v>
      </c>
      <c r="N79" s="530">
        <v>65230.411712136061</v>
      </c>
      <c r="O79" s="530">
        <v>73027.422881104285</v>
      </c>
      <c r="P79" s="530">
        <v>51608.70185829093</v>
      </c>
      <c r="Q79" s="530">
        <v>43254.869875988617</v>
      </c>
      <c r="R79" s="530">
        <v>20992.040167461735</v>
      </c>
      <c r="S79" s="530">
        <v>18496.51682626508</v>
      </c>
      <c r="T79" s="530">
        <v>40510.260920029345</v>
      </c>
      <c r="U79" s="530" t="s">
        <v>59</v>
      </c>
    </row>
    <row r="80" spans="1:21" ht="13.8" x14ac:dyDescent="0.3">
      <c r="A80" s="530" t="str">
        <f t="shared" si="2"/>
        <v>North Wales.2012.Employment.Accommodation</v>
      </c>
      <c r="B80" s="530" t="s">
        <v>220</v>
      </c>
      <c r="C80" s="530" t="str">
        <f t="shared" si="3"/>
        <v>2012.Employment.Accommodation</v>
      </c>
      <c r="D80" s="530" t="s">
        <v>229</v>
      </c>
      <c r="E80" s="530" t="s">
        <v>20</v>
      </c>
      <c r="F80" s="530" t="s">
        <v>23</v>
      </c>
      <c r="G80" s="530" t="s">
        <v>23</v>
      </c>
      <c r="H80" s="530">
        <v>7286.8758137188333</v>
      </c>
      <c r="I80" s="530">
        <v>7584.8742774594739</v>
      </c>
      <c r="J80" s="530">
        <v>8365.2302419314237</v>
      </c>
      <c r="K80" s="530">
        <v>10760.670839641487</v>
      </c>
      <c r="L80" s="530">
        <v>10860.653843676504</v>
      </c>
      <c r="M80" s="530">
        <v>10869.208194570341</v>
      </c>
      <c r="N80" s="530">
        <v>10903.389230446086</v>
      </c>
      <c r="O80" s="530">
        <v>11182.552000947617</v>
      </c>
      <c r="P80" s="530">
        <v>10868.65475108813</v>
      </c>
      <c r="Q80" s="530">
        <v>10646.997889758479</v>
      </c>
      <c r="R80" s="530">
        <v>7936.8178947653823</v>
      </c>
      <c r="S80" s="530">
        <v>7558.5694279728086</v>
      </c>
      <c r="T80" s="530">
        <v>9568.7078671647141</v>
      </c>
      <c r="U80" s="530" t="s">
        <v>59</v>
      </c>
    </row>
    <row r="81" spans="1:21" ht="13.8" x14ac:dyDescent="0.3">
      <c r="A81" s="530" t="str">
        <f t="shared" si="2"/>
        <v>North Wales.2012.Employment.Food &amp; Drink</v>
      </c>
      <c r="B81" s="530" t="s">
        <v>220</v>
      </c>
      <c r="C81" s="530" t="str">
        <f t="shared" si="3"/>
        <v>2012.Employment.Food &amp; Drink</v>
      </c>
      <c r="D81" s="530" t="s">
        <v>229</v>
      </c>
      <c r="E81" s="530" t="s">
        <v>20</v>
      </c>
      <c r="F81" s="530" t="s">
        <v>49</v>
      </c>
      <c r="G81" s="530" t="s">
        <v>49</v>
      </c>
      <c r="H81" s="530">
        <v>2536.4751108624141</v>
      </c>
      <c r="I81" s="530">
        <v>2773.1028008655971</v>
      </c>
      <c r="J81" s="530">
        <v>5005.765688911566</v>
      </c>
      <c r="K81" s="530">
        <v>9721.9958793283531</v>
      </c>
      <c r="L81" s="530">
        <v>9797.9909262740912</v>
      </c>
      <c r="M81" s="530">
        <v>11576.464778118203</v>
      </c>
      <c r="N81" s="530">
        <v>14059.350550368392</v>
      </c>
      <c r="O81" s="530">
        <v>15814.547773329805</v>
      </c>
      <c r="P81" s="530">
        <v>10414.985294413565</v>
      </c>
      <c r="Q81" s="530">
        <v>8694.0101288309434</v>
      </c>
      <c r="R81" s="530">
        <v>3489.0707735477727</v>
      </c>
      <c r="S81" s="530">
        <v>2972.7741007213372</v>
      </c>
      <c r="T81" s="530">
        <v>8071.3778171310041</v>
      </c>
      <c r="U81" s="530" t="s">
        <v>59</v>
      </c>
    </row>
    <row r="82" spans="1:21" ht="13.8" x14ac:dyDescent="0.3">
      <c r="A82" s="530" t="str">
        <f t="shared" si="2"/>
        <v>North Wales.2012.Employment.Recreation</v>
      </c>
      <c r="B82" s="530" t="s">
        <v>220</v>
      </c>
      <c r="C82" s="530" t="str">
        <f t="shared" si="3"/>
        <v>2012.Employment.Recreation</v>
      </c>
      <c r="D82" s="530" t="s">
        <v>229</v>
      </c>
      <c r="E82" s="530" t="s">
        <v>20</v>
      </c>
      <c r="F82" s="530" t="s">
        <v>50</v>
      </c>
      <c r="G82" s="530" t="s">
        <v>50</v>
      </c>
      <c r="H82" s="530">
        <v>864.00273972514356</v>
      </c>
      <c r="I82" s="530">
        <v>1074.3093137935455</v>
      </c>
      <c r="J82" s="530">
        <v>1794.3624507084296</v>
      </c>
      <c r="K82" s="530">
        <v>3940.5585589035263</v>
      </c>
      <c r="L82" s="530">
        <v>3857.345938360434</v>
      </c>
      <c r="M82" s="530">
        <v>5048.2234404104038</v>
      </c>
      <c r="N82" s="530">
        <v>5812.5252526637223</v>
      </c>
      <c r="O82" s="530">
        <v>6651.6034015942332</v>
      </c>
      <c r="P82" s="530">
        <v>4383.8284597312941</v>
      </c>
      <c r="Q82" s="530">
        <v>3590.8209081316968</v>
      </c>
      <c r="R82" s="530">
        <v>1340.2648784594041</v>
      </c>
      <c r="S82" s="530">
        <v>1087.839943738813</v>
      </c>
      <c r="T82" s="530">
        <v>3287.1404405183866</v>
      </c>
      <c r="U82" s="530" t="s">
        <v>59</v>
      </c>
    </row>
    <row r="83" spans="1:21" ht="13.8" x14ac:dyDescent="0.3">
      <c r="A83" s="530" t="str">
        <f t="shared" si="2"/>
        <v>North Wales.2012.Employment.Shopping</v>
      </c>
      <c r="B83" s="530" t="s">
        <v>220</v>
      </c>
      <c r="C83" s="530" t="str">
        <f t="shared" si="3"/>
        <v>2012.Employment.Shopping</v>
      </c>
      <c r="D83" s="530" t="s">
        <v>229</v>
      </c>
      <c r="E83" s="530" t="s">
        <v>20</v>
      </c>
      <c r="F83" s="530" t="s">
        <v>51</v>
      </c>
      <c r="G83" s="530" t="s">
        <v>51</v>
      </c>
      <c r="H83" s="530">
        <v>2983.7626975862077</v>
      </c>
      <c r="I83" s="530">
        <v>3747.557916416923</v>
      </c>
      <c r="J83" s="530">
        <v>6194.1567436936512</v>
      </c>
      <c r="K83" s="530">
        <v>12120.614216207228</v>
      </c>
      <c r="L83" s="530">
        <v>11910.182027734207</v>
      </c>
      <c r="M83" s="530">
        <v>14199.241943346229</v>
      </c>
      <c r="N83" s="530">
        <v>17044.813912759528</v>
      </c>
      <c r="O83" s="530">
        <v>19445.519953413765</v>
      </c>
      <c r="P83" s="530">
        <v>12388.377210056562</v>
      </c>
      <c r="Q83" s="530">
        <v>10204.596735809528</v>
      </c>
      <c r="R83" s="530">
        <v>4096.3553145758569</v>
      </c>
      <c r="S83" s="530">
        <v>3473.643039514704</v>
      </c>
      <c r="T83" s="530">
        <v>9817.4018092595325</v>
      </c>
      <c r="U83" s="530" t="s">
        <v>59</v>
      </c>
    </row>
    <row r="84" spans="1:21" ht="13.8" x14ac:dyDescent="0.3">
      <c r="A84" s="530" t="str">
        <f t="shared" si="2"/>
        <v>North Wales.2012.Employment.Transport</v>
      </c>
      <c r="B84" s="530" t="s">
        <v>220</v>
      </c>
      <c r="C84" s="530" t="str">
        <f t="shared" si="3"/>
        <v>2012.Employment.Transport</v>
      </c>
      <c r="D84" s="530" t="s">
        <v>229</v>
      </c>
      <c r="E84" s="530" t="s">
        <v>20</v>
      </c>
      <c r="F84" s="530" t="s">
        <v>52</v>
      </c>
      <c r="G84" s="530" t="s">
        <v>52</v>
      </c>
      <c r="H84" s="530">
        <v>438.86233634786998</v>
      </c>
      <c r="I84" s="530">
        <v>550.31262541097567</v>
      </c>
      <c r="J84" s="530">
        <v>957.74381497010154</v>
      </c>
      <c r="K84" s="530">
        <v>1980.7911054909227</v>
      </c>
      <c r="L84" s="530">
        <v>1985.1103772248107</v>
      </c>
      <c r="M84" s="530">
        <v>2436.864349732662</v>
      </c>
      <c r="N84" s="530">
        <v>2875.3868968638271</v>
      </c>
      <c r="O84" s="530">
        <v>3276.0492888317185</v>
      </c>
      <c r="P84" s="530">
        <v>2131.0516582135006</v>
      </c>
      <c r="Q84" s="530">
        <v>1747.4696105530138</v>
      </c>
      <c r="R84" s="530">
        <v>661.12350605181939</v>
      </c>
      <c r="S84" s="530">
        <v>533.82577155704928</v>
      </c>
      <c r="T84" s="530">
        <v>1631.2159451040225</v>
      </c>
      <c r="U84" s="530" t="s">
        <v>59</v>
      </c>
    </row>
    <row r="85" spans="1:21" ht="13.8" x14ac:dyDescent="0.3">
      <c r="A85" s="530" t="str">
        <f t="shared" si="2"/>
        <v>North Wales.2012.Visitor Days.Serviced Accommodation</v>
      </c>
      <c r="B85" s="530" t="s">
        <v>220</v>
      </c>
      <c r="C85" s="530" t="str">
        <f t="shared" si="3"/>
        <v>2012.Visitor Days.Serviced Accommodation</v>
      </c>
      <c r="D85" s="530" t="s">
        <v>229</v>
      </c>
      <c r="E85" s="530" t="s">
        <v>171</v>
      </c>
      <c r="F85" s="530" t="s">
        <v>43</v>
      </c>
      <c r="G85" s="530" t="s">
        <v>43</v>
      </c>
      <c r="H85" s="530">
        <v>167.56025422257079</v>
      </c>
      <c r="I85" s="530">
        <v>250.78739002382466</v>
      </c>
      <c r="J85" s="530">
        <v>306.13413562164612</v>
      </c>
      <c r="K85" s="530">
        <v>401.61981527647583</v>
      </c>
      <c r="L85" s="530">
        <v>474.35660364145366</v>
      </c>
      <c r="M85" s="530">
        <v>506.65815138736332</v>
      </c>
      <c r="N85" s="530">
        <v>473.10217310986945</v>
      </c>
      <c r="O85" s="530">
        <v>613.55344635373808</v>
      </c>
      <c r="P85" s="530">
        <v>475.53449100687766</v>
      </c>
      <c r="Q85" s="530">
        <v>399.26977903441065</v>
      </c>
      <c r="R85" s="530">
        <v>288.4985654602753</v>
      </c>
      <c r="S85" s="530">
        <v>225.08044841619346</v>
      </c>
      <c r="T85" s="530">
        <v>4582.1552535546998</v>
      </c>
      <c r="U85" s="530" t="s">
        <v>61</v>
      </c>
    </row>
    <row r="86" spans="1:21" ht="13.8" x14ac:dyDescent="0.3">
      <c r="A86" s="530" t="str">
        <f t="shared" si="2"/>
        <v>North Wales.2012.Visitor Days.Non-Serviced Accommodation</v>
      </c>
      <c r="B86" s="530" t="s">
        <v>220</v>
      </c>
      <c r="C86" s="530" t="str">
        <f t="shared" si="3"/>
        <v>2012.Visitor Days.Non-Serviced Accommodation</v>
      </c>
      <c r="D86" s="530" t="s">
        <v>229</v>
      </c>
      <c r="E86" s="530" t="s">
        <v>171</v>
      </c>
      <c r="F86" s="530" t="s">
        <v>48</v>
      </c>
      <c r="G86" s="530" t="s">
        <v>48</v>
      </c>
      <c r="H86" s="530">
        <v>423.66246138687137</v>
      </c>
      <c r="I86" s="530">
        <v>541.95060603845184</v>
      </c>
      <c r="J86" s="530">
        <v>1562.5639869496229</v>
      </c>
      <c r="K86" s="530">
        <v>3292.1787447351016</v>
      </c>
      <c r="L86" s="530">
        <v>3527.947656930266</v>
      </c>
      <c r="M86" s="530">
        <v>4420.5099665827784</v>
      </c>
      <c r="N86" s="530">
        <v>5326.8994190816802</v>
      </c>
      <c r="O86" s="530">
        <v>5826.4621446196525</v>
      </c>
      <c r="P86" s="530">
        <v>4070.6611905862164</v>
      </c>
      <c r="Q86" s="530">
        <v>3363.3565504567259</v>
      </c>
      <c r="R86" s="530">
        <v>1012.3985289472445</v>
      </c>
      <c r="S86" s="530">
        <v>628.19400443288259</v>
      </c>
      <c r="T86" s="530">
        <v>33996.785260747492</v>
      </c>
      <c r="U86" s="530" t="s">
        <v>61</v>
      </c>
    </row>
    <row r="87" spans="1:21" ht="13.8" x14ac:dyDescent="0.3">
      <c r="A87" s="530" t="str">
        <f t="shared" si="2"/>
        <v>North Wales.2012.Visitor Days.SFR</v>
      </c>
      <c r="B87" s="530" t="s">
        <v>220</v>
      </c>
      <c r="C87" s="530" t="str">
        <f t="shared" si="3"/>
        <v>2012.Visitor Days.SFR</v>
      </c>
      <c r="D87" s="530" t="s">
        <v>229</v>
      </c>
      <c r="E87" s="530" t="s">
        <v>171</v>
      </c>
      <c r="F87" s="530" t="s">
        <v>18</v>
      </c>
      <c r="G87" s="530" t="s">
        <v>18</v>
      </c>
      <c r="H87" s="530">
        <v>351.71590909090907</v>
      </c>
      <c r="I87" s="530">
        <v>118.17654545454543</v>
      </c>
      <c r="J87" s="530">
        <v>134.43363636363637</v>
      </c>
      <c r="K87" s="530">
        <v>320.76490909090904</v>
      </c>
      <c r="L87" s="530">
        <v>206.33999999999997</v>
      </c>
      <c r="M87" s="530">
        <v>158.94745363636366</v>
      </c>
      <c r="N87" s="530">
        <v>257.92500000000001</v>
      </c>
      <c r="O87" s="530">
        <v>273.03784181818179</v>
      </c>
      <c r="P87" s="530">
        <v>140.63665445454546</v>
      </c>
      <c r="Q87" s="530">
        <v>140.49878181818184</v>
      </c>
      <c r="R87" s="530">
        <v>109.47743863636362</v>
      </c>
      <c r="S87" s="530">
        <v>317.01327272727269</v>
      </c>
      <c r="T87" s="530">
        <v>2528.967443090909</v>
      </c>
      <c r="U87" s="530" t="s">
        <v>61</v>
      </c>
    </row>
    <row r="88" spans="1:21" ht="13.8" x14ac:dyDescent="0.3">
      <c r="A88" s="530" t="str">
        <f t="shared" si="2"/>
        <v>North Wales.2012.Visitor Days.Day Visitor</v>
      </c>
      <c r="B88" s="530" t="s">
        <v>220</v>
      </c>
      <c r="C88" s="530" t="str">
        <f t="shared" si="3"/>
        <v>2012.Visitor Days.Day Visitor</v>
      </c>
      <c r="D88" s="530" t="s">
        <v>229</v>
      </c>
      <c r="E88" s="530" t="s">
        <v>171</v>
      </c>
      <c r="F88" s="530" t="s">
        <v>71</v>
      </c>
      <c r="G88" s="530" t="s">
        <v>71</v>
      </c>
      <c r="H88" s="530">
        <v>511.37263895487081</v>
      </c>
      <c r="I88" s="530">
        <v>769.54301480850177</v>
      </c>
      <c r="J88" s="530">
        <v>1046.6192240948037</v>
      </c>
      <c r="K88" s="530">
        <v>1847.170283418855</v>
      </c>
      <c r="L88" s="530">
        <v>1691.9334158905249</v>
      </c>
      <c r="M88" s="530">
        <v>1914.799698126581</v>
      </c>
      <c r="N88" s="530">
        <v>2494.0876697575463</v>
      </c>
      <c r="O88" s="530">
        <v>2901.294557384479</v>
      </c>
      <c r="P88" s="530">
        <v>1605.8148627040978</v>
      </c>
      <c r="Q88" s="530">
        <v>1360.690817059547</v>
      </c>
      <c r="R88" s="530">
        <v>678.25691360184385</v>
      </c>
      <c r="S88" s="530">
        <v>549.21842551989914</v>
      </c>
      <c r="T88" s="530">
        <v>17370.801521321551</v>
      </c>
      <c r="U88" s="530" t="s">
        <v>61</v>
      </c>
    </row>
    <row r="89" spans="1:21" ht="13.8" x14ac:dyDescent="0.3">
      <c r="A89" s="530" t="str">
        <f t="shared" si="2"/>
        <v>North Wales.2012.Visitor Days.Total</v>
      </c>
      <c r="B89" s="530" t="s">
        <v>220</v>
      </c>
      <c r="C89" s="530" t="str">
        <f t="shared" si="3"/>
        <v>2012.Visitor Days.Total</v>
      </c>
      <c r="D89" s="530" t="s">
        <v>229</v>
      </c>
      <c r="E89" s="530" t="s">
        <v>171</v>
      </c>
      <c r="F89" s="530" t="s">
        <v>54</v>
      </c>
      <c r="G89" s="530" t="s">
        <v>54</v>
      </c>
      <c r="H89" s="530">
        <v>1454.3112636552221</v>
      </c>
      <c r="I89" s="530">
        <v>1680.4575563253236</v>
      </c>
      <c r="J89" s="530">
        <v>3049.750983029709</v>
      </c>
      <c r="K89" s="530">
        <v>5861.7337525213416</v>
      </c>
      <c r="L89" s="530">
        <v>5900.5776764622442</v>
      </c>
      <c r="M89" s="530">
        <v>7000.9152697330874</v>
      </c>
      <c r="N89" s="530">
        <v>8552.014261949098</v>
      </c>
      <c r="O89" s="530">
        <v>9614.3479901760493</v>
      </c>
      <c r="P89" s="530">
        <v>6292.647198751738</v>
      </c>
      <c r="Q89" s="530">
        <v>5263.8159283688647</v>
      </c>
      <c r="R89" s="530">
        <v>2088.631446645727</v>
      </c>
      <c r="S89" s="530">
        <v>1719.5061510962478</v>
      </c>
      <c r="T89" s="530">
        <v>58478.709478714649</v>
      </c>
      <c r="U89" s="530" t="s">
        <v>61</v>
      </c>
    </row>
    <row r="90" spans="1:21" ht="13.8" x14ac:dyDescent="0.3">
      <c r="A90" s="530" t="str">
        <f t="shared" si="2"/>
        <v>North Wales.2012.Visitor Numbers.Serviced Accommodation</v>
      </c>
      <c r="B90" s="530" t="s">
        <v>220</v>
      </c>
      <c r="C90" s="530" t="str">
        <f t="shared" si="3"/>
        <v>2012.Visitor Numbers.Serviced Accommodation</v>
      </c>
      <c r="D90" s="530" t="s">
        <v>229</v>
      </c>
      <c r="E90" s="530" t="s">
        <v>172</v>
      </c>
      <c r="F90" s="530" t="s">
        <v>43</v>
      </c>
      <c r="G90" s="530" t="s">
        <v>43</v>
      </c>
      <c r="H90" s="530">
        <v>108.40437781335652</v>
      </c>
      <c r="I90" s="530">
        <v>166.69358226754366</v>
      </c>
      <c r="J90" s="530">
        <v>148.48705664426802</v>
      </c>
      <c r="K90" s="530">
        <v>221.2053869075155</v>
      </c>
      <c r="L90" s="530">
        <v>252.63654905940905</v>
      </c>
      <c r="M90" s="530">
        <v>285.6903751475889</v>
      </c>
      <c r="N90" s="530">
        <v>274.89068573527157</v>
      </c>
      <c r="O90" s="530">
        <v>353.23280378982599</v>
      </c>
      <c r="P90" s="530">
        <v>243.50760033634725</v>
      </c>
      <c r="Q90" s="530">
        <v>230.75641427500986</v>
      </c>
      <c r="R90" s="530">
        <v>167.66758652032274</v>
      </c>
      <c r="S90" s="530">
        <v>137.84114515727575</v>
      </c>
      <c r="T90" s="530">
        <v>2591.0135636537348</v>
      </c>
      <c r="U90" s="530" t="s">
        <v>61</v>
      </c>
    </row>
    <row r="91" spans="1:21" ht="13.8" x14ac:dyDescent="0.3">
      <c r="A91" s="530" t="str">
        <f t="shared" si="2"/>
        <v>North Wales.2012.Visitor Numbers.Non-Serviced Accommodation</v>
      </c>
      <c r="B91" s="530" t="s">
        <v>220</v>
      </c>
      <c r="C91" s="530" t="str">
        <f t="shared" si="3"/>
        <v>2012.Visitor Numbers.Non-Serviced Accommodation</v>
      </c>
      <c r="D91" s="530" t="s">
        <v>229</v>
      </c>
      <c r="E91" s="530" t="s">
        <v>172</v>
      </c>
      <c r="F91" s="530" t="s">
        <v>48</v>
      </c>
      <c r="G91" s="530" t="s">
        <v>48</v>
      </c>
      <c r="H91" s="530">
        <v>124.60660629025627</v>
      </c>
      <c r="I91" s="530">
        <v>135.48765150961296</v>
      </c>
      <c r="J91" s="530">
        <v>325.53416394783812</v>
      </c>
      <c r="K91" s="530">
        <v>514.40292886485963</v>
      </c>
      <c r="L91" s="530">
        <v>511.2967618739516</v>
      </c>
      <c r="M91" s="530">
        <v>631.50142379753981</v>
      </c>
      <c r="N91" s="530">
        <v>750.26752381432129</v>
      </c>
      <c r="O91" s="530">
        <v>766.63975587100686</v>
      </c>
      <c r="P91" s="530">
        <v>589.95089718640816</v>
      </c>
      <c r="Q91" s="530">
        <v>480.47950720810366</v>
      </c>
      <c r="R91" s="530">
        <v>224.97745087716544</v>
      </c>
      <c r="S91" s="530">
        <v>112.1775007915862</v>
      </c>
      <c r="T91" s="530">
        <v>5167.3221720326492</v>
      </c>
      <c r="U91" s="530" t="s">
        <v>61</v>
      </c>
    </row>
    <row r="92" spans="1:21" ht="13.8" x14ac:dyDescent="0.3">
      <c r="A92" s="530" t="str">
        <f t="shared" si="2"/>
        <v>North Wales.2012.Visitor Numbers.SFR</v>
      </c>
      <c r="B92" s="530" t="s">
        <v>220</v>
      </c>
      <c r="C92" s="530" t="str">
        <f t="shared" si="3"/>
        <v>2012.Visitor Numbers.SFR</v>
      </c>
      <c r="D92" s="530" t="s">
        <v>229</v>
      </c>
      <c r="E92" s="530" t="s">
        <v>172</v>
      </c>
      <c r="F92" s="530" t="s">
        <v>18</v>
      </c>
      <c r="G92" s="530" t="s">
        <v>18</v>
      </c>
      <c r="H92" s="530">
        <v>140.68636363636364</v>
      </c>
      <c r="I92" s="530">
        <v>56.274545454545446</v>
      </c>
      <c r="J92" s="530">
        <v>62.527272727272731</v>
      </c>
      <c r="K92" s="530">
        <v>118.80181818181816</v>
      </c>
      <c r="L92" s="530">
        <v>93.790909090909082</v>
      </c>
      <c r="M92" s="530">
        <v>75.689263636363634</v>
      </c>
      <c r="N92" s="530">
        <v>103.16999999999999</v>
      </c>
      <c r="O92" s="530">
        <v>105.01455454545454</v>
      </c>
      <c r="P92" s="530">
        <v>64.809518181818177</v>
      </c>
      <c r="Q92" s="530">
        <v>65.653636363636366</v>
      </c>
      <c r="R92" s="530">
        <v>53.92977272727272</v>
      </c>
      <c r="S92" s="530">
        <v>121.92818181818181</v>
      </c>
      <c r="T92" s="530">
        <v>1062.2758363636362</v>
      </c>
      <c r="U92" s="530" t="s">
        <v>61</v>
      </c>
    </row>
    <row r="93" spans="1:21" ht="13.8" x14ac:dyDescent="0.3">
      <c r="A93" s="530" t="str">
        <f t="shared" si="2"/>
        <v>North Wales.2012.Visitor Numbers.Day Visitor</v>
      </c>
      <c r="B93" s="530" t="s">
        <v>220</v>
      </c>
      <c r="C93" s="530" t="str">
        <f t="shared" si="3"/>
        <v>2012.Visitor Numbers.Day Visitor</v>
      </c>
      <c r="D93" s="530" t="s">
        <v>229</v>
      </c>
      <c r="E93" s="530" t="s">
        <v>172</v>
      </c>
      <c r="F93" s="530" t="s">
        <v>71</v>
      </c>
      <c r="G93" s="530" t="s">
        <v>71</v>
      </c>
      <c r="H93" s="530">
        <v>511.37263895487081</v>
      </c>
      <c r="I93" s="530">
        <v>769.54301480850177</v>
      </c>
      <c r="J93" s="530">
        <v>1046.6192240948037</v>
      </c>
      <c r="K93" s="530">
        <v>1847.170283418855</v>
      </c>
      <c r="L93" s="530">
        <v>1691.9334158905249</v>
      </c>
      <c r="M93" s="530">
        <v>1914.799698126581</v>
      </c>
      <c r="N93" s="530">
        <v>2494.0876697575463</v>
      </c>
      <c r="O93" s="530">
        <v>2901.294557384479</v>
      </c>
      <c r="P93" s="530">
        <v>1605.8148627040978</v>
      </c>
      <c r="Q93" s="530">
        <v>1360.690817059547</v>
      </c>
      <c r="R93" s="530">
        <v>678.25691360184385</v>
      </c>
      <c r="S93" s="530">
        <v>549.21842551989914</v>
      </c>
      <c r="T93" s="530">
        <v>17370.801521321551</v>
      </c>
      <c r="U93" s="530" t="s">
        <v>61</v>
      </c>
    </row>
    <row r="94" spans="1:21" ht="13.8" x14ac:dyDescent="0.3">
      <c r="A94" s="530" t="str">
        <f t="shared" si="2"/>
        <v>North Wales.2012.Visitor Numbers.Total</v>
      </c>
      <c r="B94" s="530" t="s">
        <v>220</v>
      </c>
      <c r="C94" s="530" t="str">
        <f t="shared" si="3"/>
        <v>2012.Visitor Numbers.Total</v>
      </c>
      <c r="D94" s="530" t="s">
        <v>229</v>
      </c>
      <c r="E94" s="530" t="s">
        <v>172</v>
      </c>
      <c r="F94" s="530" t="s">
        <v>54</v>
      </c>
      <c r="G94" s="530" t="s">
        <v>54</v>
      </c>
      <c r="H94" s="530">
        <v>885.06998669484733</v>
      </c>
      <c r="I94" s="530">
        <v>1127.9987940402038</v>
      </c>
      <c r="J94" s="530">
        <v>1583.1677174141826</v>
      </c>
      <c r="K94" s="530">
        <v>2701.580417373048</v>
      </c>
      <c r="L94" s="530">
        <v>2549.6576359147944</v>
      </c>
      <c r="M94" s="530">
        <v>2907.6807607080736</v>
      </c>
      <c r="N94" s="530">
        <v>3622.4158793071388</v>
      </c>
      <c r="O94" s="530">
        <v>4126.1816715907662</v>
      </c>
      <c r="P94" s="530">
        <v>2504.0828784086711</v>
      </c>
      <c r="Q94" s="530">
        <v>2137.580374906297</v>
      </c>
      <c r="R94" s="530">
        <v>1124.8317237266047</v>
      </c>
      <c r="S94" s="530">
        <v>921.16525328694286</v>
      </c>
      <c r="T94" s="530">
        <v>26191.413093371571</v>
      </c>
      <c r="U94" s="530" t="s">
        <v>61</v>
      </c>
    </row>
    <row r="95" spans="1:21" ht="13.8" x14ac:dyDescent="0.3">
      <c r="A95" s="530" t="str">
        <f t="shared" si="2"/>
        <v>North Wales.2012.Vehicle Days.Serviced Accommodation</v>
      </c>
      <c r="B95" s="530" t="s">
        <v>220</v>
      </c>
      <c r="C95" s="530" t="str">
        <f t="shared" si="3"/>
        <v>2012.Vehicle Days.Serviced Accommodation</v>
      </c>
      <c r="D95" s="530" t="s">
        <v>229</v>
      </c>
      <c r="E95" s="530" t="s">
        <v>21</v>
      </c>
      <c r="F95" s="530" t="s">
        <v>43</v>
      </c>
      <c r="G95" s="530" t="s">
        <v>43</v>
      </c>
      <c r="H95" s="530">
        <v>43.699224389062607</v>
      </c>
      <c r="I95" s="530">
        <v>86.459468125406815</v>
      </c>
      <c r="J95" s="530">
        <v>110.32256658781716</v>
      </c>
      <c r="K95" s="530">
        <v>105.20805576600607</v>
      </c>
      <c r="L95" s="530">
        <v>133.14166931468486</v>
      </c>
      <c r="M95" s="530">
        <v>141.57479423316161</v>
      </c>
      <c r="N95" s="530">
        <v>123.82816819856956</v>
      </c>
      <c r="O95" s="530">
        <v>160.26952556031199</v>
      </c>
      <c r="P95" s="530">
        <v>124.42539052729957</v>
      </c>
      <c r="Q95" s="530">
        <v>120.5389656629491</v>
      </c>
      <c r="R95" s="530">
        <v>90.463902969989917</v>
      </c>
      <c r="S95" s="530">
        <v>59.30867313970208</v>
      </c>
      <c r="T95" s="530">
        <v>1299.2404044749615</v>
      </c>
      <c r="U95" s="530" t="s">
        <v>61</v>
      </c>
    </row>
    <row r="96" spans="1:21" ht="13.8" x14ac:dyDescent="0.3">
      <c r="A96" s="530" t="str">
        <f t="shared" si="2"/>
        <v>North Wales.2012.Vehicle Days.Non-Serviced Accommodation</v>
      </c>
      <c r="B96" s="530" t="s">
        <v>220</v>
      </c>
      <c r="C96" s="530" t="str">
        <f t="shared" si="3"/>
        <v>2012.Vehicle Days.Non-Serviced Accommodation</v>
      </c>
      <c r="D96" s="530" t="s">
        <v>229</v>
      </c>
      <c r="E96" s="530" t="s">
        <v>21</v>
      </c>
      <c r="F96" s="530" t="s">
        <v>48</v>
      </c>
      <c r="G96" s="530" t="s">
        <v>48</v>
      </c>
      <c r="H96" s="530">
        <v>106.74751402119077</v>
      </c>
      <c r="I96" s="530">
        <v>152.09240939145528</v>
      </c>
      <c r="J96" s="530">
        <v>397.40000220675296</v>
      </c>
      <c r="K96" s="530">
        <v>859.61356181316933</v>
      </c>
      <c r="L96" s="530">
        <v>934.16905794823163</v>
      </c>
      <c r="M96" s="530">
        <v>1199.6385229140012</v>
      </c>
      <c r="N96" s="530">
        <v>1385.2533404763501</v>
      </c>
      <c r="O96" s="530">
        <v>1512.5490280603976</v>
      </c>
      <c r="P96" s="530">
        <v>1081.9010554731747</v>
      </c>
      <c r="Q96" s="530">
        <v>873.50161237997793</v>
      </c>
      <c r="R96" s="530">
        <v>259.24887404634347</v>
      </c>
      <c r="S96" s="530">
        <v>152.16137663915669</v>
      </c>
      <c r="T96" s="530">
        <v>8914.2763553702025</v>
      </c>
      <c r="U96" s="530" t="s">
        <v>61</v>
      </c>
    </row>
    <row r="97" spans="1:21" ht="13.8" x14ac:dyDescent="0.3">
      <c r="A97" s="530" t="str">
        <f t="shared" si="2"/>
        <v>North Wales.2012.Vehicle Days.SFR</v>
      </c>
      <c r="B97" s="530" t="s">
        <v>220</v>
      </c>
      <c r="C97" s="530" t="str">
        <f t="shared" si="3"/>
        <v>2012.Vehicle Days.SFR</v>
      </c>
      <c r="D97" s="530" t="s">
        <v>229</v>
      </c>
      <c r="E97" s="530" t="s">
        <v>21</v>
      </c>
      <c r="F97" s="530" t="s">
        <v>18</v>
      </c>
      <c r="G97" s="530" t="s">
        <v>18</v>
      </c>
      <c r="H97" s="530">
        <v>108.25602272727272</v>
      </c>
      <c r="I97" s="530">
        <v>36.374023636363631</v>
      </c>
      <c r="J97" s="530">
        <v>41.377857575757574</v>
      </c>
      <c r="K97" s="530">
        <v>98.729492727272728</v>
      </c>
      <c r="L97" s="530">
        <v>63.510199999999998</v>
      </c>
      <c r="M97" s="530">
        <v>48.923061790909088</v>
      </c>
      <c r="N97" s="530">
        <v>79.387749999999997</v>
      </c>
      <c r="O97" s="530">
        <v>84.039391012121214</v>
      </c>
      <c r="P97" s="530">
        <v>43.287108906363642</v>
      </c>
      <c r="Q97" s="530">
        <v>43.244672545454549</v>
      </c>
      <c r="R97" s="530">
        <v>33.696491340909084</v>
      </c>
      <c r="S97" s="530">
        <v>97.574761818181827</v>
      </c>
      <c r="T97" s="530">
        <v>778.40083408060605</v>
      </c>
      <c r="U97" s="530" t="s">
        <v>61</v>
      </c>
    </row>
    <row r="98" spans="1:21" ht="13.8" x14ac:dyDescent="0.3">
      <c r="A98" s="530" t="str">
        <f t="shared" si="2"/>
        <v>North Wales.2012.Vehicle Days.Day Visitor</v>
      </c>
      <c r="B98" s="530" t="s">
        <v>220</v>
      </c>
      <c r="C98" s="530" t="str">
        <f t="shared" si="3"/>
        <v>2012.Vehicle Days.Day Visitor</v>
      </c>
      <c r="D98" s="530" t="s">
        <v>229</v>
      </c>
      <c r="E98" s="530" t="s">
        <v>21</v>
      </c>
      <c r="F98" s="530" t="s">
        <v>71</v>
      </c>
      <c r="G98" s="530" t="s">
        <v>71</v>
      </c>
      <c r="H98" s="530">
        <v>112.50198057007157</v>
      </c>
      <c r="I98" s="530">
        <v>193.4851008661376</v>
      </c>
      <c r="J98" s="530">
        <v>263.14997634383639</v>
      </c>
      <c r="K98" s="530">
        <v>406.37746235214814</v>
      </c>
      <c r="L98" s="530">
        <v>372.22535149591545</v>
      </c>
      <c r="M98" s="530">
        <v>481.43535267182619</v>
      </c>
      <c r="N98" s="530">
        <v>548.69928734666018</v>
      </c>
      <c r="O98" s="530">
        <v>638.2848026245855</v>
      </c>
      <c r="P98" s="530">
        <v>353.2792697949015</v>
      </c>
      <c r="Q98" s="530">
        <v>342.11654828925759</v>
      </c>
      <c r="R98" s="530">
        <v>170.53316684846357</v>
      </c>
      <c r="S98" s="530">
        <v>120.82805361437781</v>
      </c>
      <c r="T98" s="530">
        <v>4002.9163528181816</v>
      </c>
      <c r="U98" s="530" t="s">
        <v>61</v>
      </c>
    </row>
    <row r="99" spans="1:21" ht="13.8" x14ac:dyDescent="0.3">
      <c r="A99" s="530" t="str">
        <f t="shared" si="2"/>
        <v>North Wales.2012.Vehicle Days.Total</v>
      </c>
      <c r="B99" s="530" t="s">
        <v>220</v>
      </c>
      <c r="C99" s="530" t="str">
        <f t="shared" si="3"/>
        <v>2012.Vehicle Days.Total</v>
      </c>
      <c r="D99" s="530" t="s">
        <v>229</v>
      </c>
      <c r="E99" s="530" t="s">
        <v>21</v>
      </c>
      <c r="F99" s="530" t="s">
        <v>54</v>
      </c>
      <c r="G99" s="530" t="s">
        <v>54</v>
      </c>
      <c r="H99" s="530">
        <v>371.20474170759769</v>
      </c>
      <c r="I99" s="530">
        <v>468.41100201936331</v>
      </c>
      <c r="J99" s="530">
        <v>812.25040271416424</v>
      </c>
      <c r="K99" s="530">
        <v>1469.9285726585965</v>
      </c>
      <c r="L99" s="530">
        <v>1503.0462787588319</v>
      </c>
      <c r="M99" s="530">
        <v>1871.5717316098983</v>
      </c>
      <c r="N99" s="530">
        <v>2137.1685460215799</v>
      </c>
      <c r="O99" s="530">
        <v>2395.142747257416</v>
      </c>
      <c r="P99" s="530">
        <v>1602.8928247017393</v>
      </c>
      <c r="Q99" s="530">
        <v>1379.4017988776393</v>
      </c>
      <c r="R99" s="530">
        <v>553.94243520570603</v>
      </c>
      <c r="S99" s="530">
        <v>429.87286521141834</v>
      </c>
      <c r="T99" s="530">
        <v>14994.833946743947</v>
      </c>
      <c r="U99" s="530" t="s">
        <v>61</v>
      </c>
    </row>
    <row r="100" spans="1:21" ht="13.8" x14ac:dyDescent="0.3">
      <c r="A100" s="530" t="str">
        <f t="shared" si="2"/>
        <v>North Wales.2012.Vehicle Numbers.Serviced Accommodation</v>
      </c>
      <c r="B100" s="530" t="s">
        <v>220</v>
      </c>
      <c r="C100" s="530" t="str">
        <f t="shared" si="3"/>
        <v>2012.Vehicle Numbers.Serviced Accommodation</v>
      </c>
      <c r="D100" s="530" t="s">
        <v>229</v>
      </c>
      <c r="E100" s="530" t="s">
        <v>22</v>
      </c>
      <c r="F100" s="530" t="s">
        <v>43</v>
      </c>
      <c r="G100" s="530" t="s">
        <v>43</v>
      </c>
      <c r="H100" s="530">
        <v>28.210051966375133</v>
      </c>
      <c r="I100" s="530">
        <v>57.48895468634241</v>
      </c>
      <c r="J100" s="530">
        <v>53.505265688519195</v>
      </c>
      <c r="K100" s="530">
        <v>57.940400180258216</v>
      </c>
      <c r="L100" s="530">
        <v>70.82153582226934</v>
      </c>
      <c r="M100" s="530">
        <v>79.774630064409706</v>
      </c>
      <c r="N100" s="530">
        <v>71.959705463952446</v>
      </c>
      <c r="O100" s="530">
        <v>92.345460115713848</v>
      </c>
      <c r="P100" s="530">
        <v>63.731508978526023</v>
      </c>
      <c r="Q100" s="530">
        <v>69.800515296953364</v>
      </c>
      <c r="R100" s="530">
        <v>51.854875020519913</v>
      </c>
      <c r="S100" s="530">
        <v>36.358800767305851</v>
      </c>
      <c r="T100" s="530">
        <v>733.79170405114542</v>
      </c>
      <c r="U100" s="530" t="s">
        <v>61</v>
      </c>
    </row>
    <row r="101" spans="1:21" ht="13.8" x14ac:dyDescent="0.3">
      <c r="A101" s="530" t="str">
        <f t="shared" si="2"/>
        <v>North Wales.2012.Vehicle Numbers.Non-Serviced Accommodation</v>
      </c>
      <c r="B101" s="530" t="s">
        <v>220</v>
      </c>
      <c r="C101" s="530" t="str">
        <f t="shared" si="3"/>
        <v>2012.Vehicle Numbers.Non-Serviced Accommodation</v>
      </c>
      <c r="D101" s="530" t="s">
        <v>229</v>
      </c>
      <c r="E101" s="530" t="s">
        <v>22</v>
      </c>
      <c r="F101" s="530" t="s">
        <v>48</v>
      </c>
      <c r="G101" s="530" t="s">
        <v>48</v>
      </c>
      <c r="H101" s="530">
        <v>31.396327653291404</v>
      </c>
      <c r="I101" s="530">
        <v>38.023102347863819</v>
      </c>
      <c r="J101" s="530">
        <v>82.791667126406878</v>
      </c>
      <c r="K101" s="530">
        <v>134.31461903330771</v>
      </c>
      <c r="L101" s="530">
        <v>135.38681999249732</v>
      </c>
      <c r="M101" s="530">
        <v>171.37693184485732</v>
      </c>
      <c r="N101" s="530">
        <v>195.10610429244372</v>
      </c>
      <c r="O101" s="530">
        <v>199.0196089553155</v>
      </c>
      <c r="P101" s="530">
        <v>156.79725441640213</v>
      </c>
      <c r="Q101" s="530">
        <v>124.78594462571112</v>
      </c>
      <c r="R101" s="530">
        <v>57.610860899187436</v>
      </c>
      <c r="S101" s="530">
        <v>27.171674399849408</v>
      </c>
      <c r="T101" s="530">
        <v>1353.7809155871337</v>
      </c>
      <c r="U101" s="530" t="s">
        <v>61</v>
      </c>
    </row>
    <row r="102" spans="1:21" ht="13.8" x14ac:dyDescent="0.3">
      <c r="A102" s="530" t="str">
        <f t="shared" si="2"/>
        <v>North Wales.2012.Vehicle Numbers.SFR</v>
      </c>
      <c r="B102" s="530" t="s">
        <v>220</v>
      </c>
      <c r="C102" s="530" t="str">
        <f t="shared" si="3"/>
        <v>2012.Vehicle Numbers.SFR</v>
      </c>
      <c r="D102" s="530" t="s">
        <v>229</v>
      </c>
      <c r="E102" s="530" t="s">
        <v>22</v>
      </c>
      <c r="F102" s="530" t="s">
        <v>18</v>
      </c>
      <c r="G102" s="530" t="s">
        <v>18</v>
      </c>
      <c r="H102" s="530">
        <v>43.302409090909087</v>
      </c>
      <c r="I102" s="530">
        <v>17.320963636363633</v>
      </c>
      <c r="J102" s="530">
        <v>19.245515151515153</v>
      </c>
      <c r="K102" s="530">
        <v>36.566478787878786</v>
      </c>
      <c r="L102" s="530">
        <v>28.868272727272725</v>
      </c>
      <c r="M102" s="530">
        <v>23.296696090909091</v>
      </c>
      <c r="N102" s="530">
        <v>31.755099999999999</v>
      </c>
      <c r="O102" s="530">
        <v>32.322842696969694</v>
      </c>
      <c r="P102" s="530">
        <v>19.947976454545454</v>
      </c>
      <c r="Q102" s="530">
        <v>20.207790909090903</v>
      </c>
      <c r="R102" s="530">
        <v>16.599256818181814</v>
      </c>
      <c r="S102" s="530">
        <v>37.528754545454547</v>
      </c>
      <c r="T102" s="530">
        <v>326.96205690909085</v>
      </c>
      <c r="U102" s="530" t="s">
        <v>61</v>
      </c>
    </row>
    <row r="103" spans="1:21" ht="13.8" x14ac:dyDescent="0.3">
      <c r="A103" s="530" t="str">
        <f t="shared" si="2"/>
        <v>North Wales.2012.Vehicle Numbers.Day Visitor</v>
      </c>
      <c r="B103" s="530" t="s">
        <v>220</v>
      </c>
      <c r="C103" s="530" t="str">
        <f t="shared" si="3"/>
        <v>2012.Vehicle Numbers.Day Visitor</v>
      </c>
      <c r="D103" s="530" t="s">
        <v>229</v>
      </c>
      <c r="E103" s="530" t="s">
        <v>22</v>
      </c>
      <c r="F103" s="530" t="s">
        <v>71</v>
      </c>
      <c r="G103" s="530" t="s">
        <v>71</v>
      </c>
      <c r="H103" s="530">
        <v>112.50198057007157</v>
      </c>
      <c r="I103" s="530">
        <v>193.4851008661376</v>
      </c>
      <c r="J103" s="530">
        <v>263.14997634383639</v>
      </c>
      <c r="K103" s="530">
        <v>406.37746235214814</v>
      </c>
      <c r="L103" s="530">
        <v>372.22535149591545</v>
      </c>
      <c r="M103" s="530">
        <v>481.43535267182619</v>
      </c>
      <c r="N103" s="530">
        <v>548.69928734666018</v>
      </c>
      <c r="O103" s="530">
        <v>638.2848026245855</v>
      </c>
      <c r="P103" s="530">
        <v>353.2792697949015</v>
      </c>
      <c r="Q103" s="530">
        <v>342.11654828925759</v>
      </c>
      <c r="R103" s="530">
        <v>170.53316684846357</v>
      </c>
      <c r="S103" s="530">
        <v>120.82805361437781</v>
      </c>
      <c r="T103" s="530">
        <v>4002.9163528181816</v>
      </c>
      <c r="U103" s="530" t="s">
        <v>61</v>
      </c>
    </row>
    <row r="104" spans="1:21" ht="13.8" x14ac:dyDescent="0.3">
      <c r="A104" s="530" t="str">
        <f t="shared" si="2"/>
        <v>North Wales.2012.Vehicle Numbers.Total</v>
      </c>
      <c r="B104" s="530" t="s">
        <v>220</v>
      </c>
      <c r="C104" s="530" t="str">
        <f t="shared" si="3"/>
        <v>2012.Vehicle Numbers.Total</v>
      </c>
      <c r="D104" s="530" t="s">
        <v>229</v>
      </c>
      <c r="E104" s="530" t="s">
        <v>22</v>
      </c>
      <c r="F104" s="530" t="s">
        <v>54</v>
      </c>
      <c r="G104" s="530" t="s">
        <v>54</v>
      </c>
      <c r="H104" s="530">
        <v>215.41076928064717</v>
      </c>
      <c r="I104" s="530">
        <v>306.31812153670745</v>
      </c>
      <c r="J104" s="530">
        <v>418.6924243102776</v>
      </c>
      <c r="K104" s="530">
        <v>635.19896035359284</v>
      </c>
      <c r="L104" s="530">
        <v>607.30198003795488</v>
      </c>
      <c r="M104" s="530">
        <v>755.88361067200219</v>
      </c>
      <c r="N104" s="530">
        <v>847.52019710305638</v>
      </c>
      <c r="O104" s="530">
        <v>961.97271439258441</v>
      </c>
      <c r="P104" s="530">
        <v>593.75600964437513</v>
      </c>
      <c r="Q104" s="530">
        <v>556.91079912101293</v>
      </c>
      <c r="R104" s="530">
        <v>296.59815958635278</v>
      </c>
      <c r="S104" s="530">
        <v>221.88728332698764</v>
      </c>
      <c r="T104" s="530">
        <v>6417.4510293655512</v>
      </c>
      <c r="U104" s="530" t="s">
        <v>61</v>
      </c>
    </row>
    <row r="105" spans="1:21" ht="13.8" x14ac:dyDescent="0.3">
      <c r="A105" s="530" t="str">
        <f t="shared" si="2"/>
        <v>North Wales.2012.Accommodation.Serviced Accommodation</v>
      </c>
      <c r="B105" s="530" t="s">
        <v>220</v>
      </c>
      <c r="C105" s="530" t="str">
        <f t="shared" si="3"/>
        <v>2012.Accommodation.Serviced Accommodation</v>
      </c>
      <c r="D105" s="530" t="s">
        <v>229</v>
      </c>
      <c r="E105" s="530" t="s">
        <v>23</v>
      </c>
      <c r="F105" s="530" t="s">
        <v>43</v>
      </c>
      <c r="G105" s="530" t="s">
        <v>43</v>
      </c>
      <c r="H105" s="530">
        <v>25219.597633136094</v>
      </c>
      <c r="I105" s="530">
        <v>26299.426035502958</v>
      </c>
      <c r="J105" s="530">
        <v>27596.905325443786</v>
      </c>
      <c r="K105" s="530">
        <v>30740.881656804733</v>
      </c>
      <c r="L105" s="530">
        <v>30795.289940828403</v>
      </c>
      <c r="M105" s="530">
        <v>30812.289940828403</v>
      </c>
      <c r="N105" s="530">
        <v>30849.881656804733</v>
      </c>
      <c r="O105" s="530">
        <v>30849.881656804733</v>
      </c>
      <c r="P105" s="530">
        <v>30819.289940828403</v>
      </c>
      <c r="Q105" s="530">
        <v>30518.289940828403</v>
      </c>
      <c r="R105" s="530">
        <v>27299.343195266272</v>
      </c>
      <c r="S105" s="530">
        <v>26156.692307692309</v>
      </c>
      <c r="T105" s="530">
        <v>30849.881656804733</v>
      </c>
      <c r="U105" s="530" t="s">
        <v>58</v>
      </c>
    </row>
    <row r="106" spans="1:21" ht="13.8" x14ac:dyDescent="0.3">
      <c r="A106" s="530" t="str">
        <f t="shared" si="2"/>
        <v>North Wales.2012.Accommodation.Non-Serviced Accommodation</v>
      </c>
      <c r="B106" s="530" t="s">
        <v>220</v>
      </c>
      <c r="C106" s="530" t="str">
        <f t="shared" si="3"/>
        <v>2012.Accommodation.Non-Serviced Accommodation</v>
      </c>
      <c r="D106" s="530" t="s">
        <v>229</v>
      </c>
      <c r="E106" s="530" t="s">
        <v>23</v>
      </c>
      <c r="F106" s="530" t="s">
        <v>48</v>
      </c>
      <c r="G106" s="530" t="s">
        <v>48</v>
      </c>
      <c r="H106" s="530">
        <v>59607.9326368006</v>
      </c>
      <c r="I106" s="530">
        <v>64349.098555146586</v>
      </c>
      <c r="J106" s="530">
        <v>141343.54079922481</v>
      </c>
      <c r="K106" s="530">
        <v>227700.40646003356</v>
      </c>
      <c r="L106" s="530">
        <v>228505.66425517283</v>
      </c>
      <c r="M106" s="530">
        <v>229470.52030439849</v>
      </c>
      <c r="N106" s="530">
        <v>229951.61604975729</v>
      </c>
      <c r="O106" s="530">
        <v>229951.61604975729</v>
      </c>
      <c r="P106" s="530">
        <v>227837.59660365991</v>
      </c>
      <c r="Q106" s="530">
        <v>222335.1318956966</v>
      </c>
      <c r="R106" s="530">
        <v>101848.69503104014</v>
      </c>
      <c r="S106" s="530">
        <v>73776.045153076353</v>
      </c>
      <c r="T106" s="530">
        <v>229951.61604975729</v>
      </c>
      <c r="U106" s="530" t="s">
        <v>58</v>
      </c>
    </row>
    <row r="107" spans="1:21" ht="13.8" x14ac:dyDescent="0.3">
      <c r="A107" s="530" t="str">
        <f t="shared" si="2"/>
        <v>North Wales.2012.Accommodation.Total</v>
      </c>
      <c r="B107" s="530" t="s">
        <v>220</v>
      </c>
      <c r="C107" s="530" t="str">
        <f t="shared" si="3"/>
        <v>2012.Accommodation.Total</v>
      </c>
      <c r="D107" s="530" t="s">
        <v>229</v>
      </c>
      <c r="E107" s="530" t="s">
        <v>23</v>
      </c>
      <c r="F107" s="530" t="s">
        <v>54</v>
      </c>
      <c r="G107" s="530" t="s">
        <v>54</v>
      </c>
      <c r="H107" s="530">
        <v>84827.530269936688</v>
      </c>
      <c r="I107" s="530">
        <v>90648.52459064954</v>
      </c>
      <c r="J107" s="530">
        <v>168940.44612466861</v>
      </c>
      <c r="K107" s="530">
        <v>258441.28811683826</v>
      </c>
      <c r="L107" s="530">
        <v>259300.95419600123</v>
      </c>
      <c r="M107" s="530">
        <v>260282.81024522689</v>
      </c>
      <c r="N107" s="530">
        <v>260801.49770656202</v>
      </c>
      <c r="O107" s="530">
        <v>260801.49770656202</v>
      </c>
      <c r="P107" s="530">
        <v>258656.88654448831</v>
      </c>
      <c r="Q107" s="530">
        <v>252853.421836525</v>
      </c>
      <c r="R107" s="530">
        <v>129148.03822630642</v>
      </c>
      <c r="S107" s="530">
        <v>99932.737460768651</v>
      </c>
      <c r="T107" s="530">
        <v>260801.49770656202</v>
      </c>
      <c r="U107" s="530" t="s">
        <v>58</v>
      </c>
    </row>
    <row r="108" spans="1:21" ht="13.8" x14ac:dyDescent="0.3">
      <c r="A108" s="530" t="str">
        <f t="shared" si="2"/>
        <v>North Wales.2012.Economic Impact.Total</v>
      </c>
      <c r="B108" s="530" t="s">
        <v>220</v>
      </c>
      <c r="C108" s="530" t="str">
        <f t="shared" si="3"/>
        <v>2012.Economic Impact.Total</v>
      </c>
      <c r="D108" s="530" t="s">
        <v>229</v>
      </c>
      <c r="E108" s="530" t="s">
        <v>17</v>
      </c>
      <c r="F108" s="530" t="s">
        <v>54</v>
      </c>
      <c r="G108" s="530" t="s">
        <v>54</v>
      </c>
      <c r="H108" s="530">
        <v>59304.206274630815</v>
      </c>
      <c r="I108" s="530">
        <v>74264.470161155987</v>
      </c>
      <c r="J108" s="530">
        <v>123480.49135178525</v>
      </c>
      <c r="K108" s="530">
        <v>234171.52069767556</v>
      </c>
      <c r="L108" s="530">
        <v>234735.61474749629</v>
      </c>
      <c r="M108" s="530">
        <v>284485.94832193147</v>
      </c>
      <c r="N108" s="530">
        <v>362956.36022470903</v>
      </c>
      <c r="O108" s="530">
        <v>417330.88231146411</v>
      </c>
      <c r="P108" s="530">
        <v>286749.64969640464</v>
      </c>
      <c r="Q108" s="530">
        <v>209178.16387916956</v>
      </c>
      <c r="R108" s="530">
        <v>88397.921405249042</v>
      </c>
      <c r="S108" s="530">
        <v>73157.439978886337</v>
      </c>
      <c r="T108" s="530">
        <v>2448212.669050558</v>
      </c>
      <c r="U108" s="530" t="s">
        <v>57</v>
      </c>
    </row>
    <row r="109" spans="1:21" ht="13.8" x14ac:dyDescent="0.3">
      <c r="A109" s="530" t="str">
        <f t="shared" si="2"/>
        <v>North Wales.2013.Economic Impact.Indirect Expenditure</v>
      </c>
      <c r="B109" s="530" t="s">
        <v>220</v>
      </c>
      <c r="C109" s="530" t="str">
        <f t="shared" si="3"/>
        <v>2013.Economic Impact.Indirect Expenditure</v>
      </c>
      <c r="D109" s="530" t="s">
        <v>230</v>
      </c>
      <c r="E109" s="530" t="s">
        <v>17</v>
      </c>
      <c r="F109" s="530" t="s">
        <v>45</v>
      </c>
      <c r="G109" s="530" t="s">
        <v>45</v>
      </c>
      <c r="H109" s="530">
        <v>16727.840656275563</v>
      </c>
      <c r="I109" s="530">
        <v>22016.244932803504</v>
      </c>
      <c r="J109" s="530">
        <v>42535.591453616551</v>
      </c>
      <c r="K109" s="530">
        <v>57244.962655515868</v>
      </c>
      <c r="L109" s="530">
        <v>68260.992806960319</v>
      </c>
      <c r="M109" s="530">
        <v>72459.582867485238</v>
      </c>
      <c r="N109" s="530">
        <v>97826.786250302626</v>
      </c>
      <c r="O109" s="530">
        <v>114972.56109942264</v>
      </c>
      <c r="P109" s="530">
        <v>72582.058383467564</v>
      </c>
      <c r="Q109" s="530">
        <v>50997.996786738382</v>
      </c>
      <c r="R109" s="530">
        <v>25833.840690523466</v>
      </c>
      <c r="S109" s="530">
        <v>21191.347330817702</v>
      </c>
      <c r="T109" s="530">
        <v>662649.80591392948</v>
      </c>
      <c r="U109" s="530" t="s">
        <v>57</v>
      </c>
    </row>
    <row r="110" spans="1:21" ht="13.8" x14ac:dyDescent="0.3">
      <c r="A110" s="530" t="str">
        <f t="shared" si="2"/>
        <v>North Wales.2013.Economic Impact.Direct Revenue</v>
      </c>
      <c r="B110" s="530" t="s">
        <v>220</v>
      </c>
      <c r="C110" s="530" t="str">
        <f t="shared" si="3"/>
        <v>2013.Economic Impact.Direct Revenue</v>
      </c>
      <c r="D110" s="530" t="s">
        <v>230</v>
      </c>
      <c r="E110" s="530" t="s">
        <v>17</v>
      </c>
      <c r="F110" s="530" t="s">
        <v>46</v>
      </c>
      <c r="G110" s="530" t="s">
        <v>46</v>
      </c>
      <c r="H110" s="530">
        <v>42213.476804443686</v>
      </c>
      <c r="I110" s="530">
        <v>55929.820642268096</v>
      </c>
      <c r="J110" s="530">
        <v>105264.24511673598</v>
      </c>
      <c r="K110" s="530">
        <v>141968.83374835015</v>
      </c>
      <c r="L110" s="530">
        <v>169122.86694346074</v>
      </c>
      <c r="M110" s="530">
        <v>179231.70854478204</v>
      </c>
      <c r="N110" s="530">
        <v>242792.47929878862</v>
      </c>
      <c r="O110" s="530">
        <v>284135.06286995549</v>
      </c>
      <c r="P110" s="530">
        <v>179909.59802107103</v>
      </c>
      <c r="Q110" s="530">
        <v>126196.56510516125</v>
      </c>
      <c r="R110" s="530">
        <v>65977.399258589256</v>
      </c>
      <c r="S110" s="530">
        <v>53807.18933014675</v>
      </c>
      <c r="T110" s="530">
        <v>1646549.2456837532</v>
      </c>
      <c r="U110" s="530" t="s">
        <v>57</v>
      </c>
    </row>
    <row r="111" spans="1:21" ht="13.8" x14ac:dyDescent="0.3">
      <c r="A111" s="530" t="str">
        <f t="shared" si="2"/>
        <v>North Wales.2013.Economic Impact.VAT</v>
      </c>
      <c r="B111" s="530" t="s">
        <v>220</v>
      </c>
      <c r="C111" s="530" t="str">
        <f t="shared" si="3"/>
        <v>2013.Economic Impact.VAT</v>
      </c>
      <c r="D111" s="530" t="s">
        <v>230</v>
      </c>
      <c r="E111" s="530" t="s">
        <v>17</v>
      </c>
      <c r="F111" s="530" t="s">
        <v>47</v>
      </c>
      <c r="G111" s="530" t="s">
        <v>47</v>
      </c>
      <c r="H111" s="530">
        <v>8442.6953608887379</v>
      </c>
      <c r="I111" s="530">
        <v>11185.964128453621</v>
      </c>
      <c r="J111" s="530">
        <v>21052.849023347197</v>
      </c>
      <c r="K111" s="530">
        <v>28393.766749670034</v>
      </c>
      <c r="L111" s="530">
        <v>33824.573388692144</v>
      </c>
      <c r="M111" s="530">
        <v>35846.34170895641</v>
      </c>
      <c r="N111" s="530">
        <v>48558.495859757735</v>
      </c>
      <c r="O111" s="530">
        <v>56827.012573991109</v>
      </c>
      <c r="P111" s="530">
        <v>35981.919604214199</v>
      </c>
      <c r="Q111" s="530">
        <v>25239.313021032249</v>
      </c>
      <c r="R111" s="530">
        <v>13195.479851717851</v>
      </c>
      <c r="S111" s="530">
        <v>10761.437866029353</v>
      </c>
      <c r="T111" s="530">
        <v>329309.84913675068</v>
      </c>
      <c r="U111" s="530" t="s">
        <v>57</v>
      </c>
    </row>
    <row r="112" spans="1:21" ht="13.8" x14ac:dyDescent="0.3">
      <c r="A112" s="530" t="str">
        <f t="shared" si="2"/>
        <v>North Wales.2013.Economic Impact.Serviced Accommodation</v>
      </c>
      <c r="B112" s="530" t="s">
        <v>220</v>
      </c>
      <c r="C112" s="530" t="str">
        <f t="shared" si="3"/>
        <v>2013.Economic Impact.Serviced Accommodation</v>
      </c>
      <c r="D112" s="530" t="s">
        <v>230</v>
      </c>
      <c r="E112" s="530" t="s">
        <v>17</v>
      </c>
      <c r="F112" s="530" t="s">
        <v>43</v>
      </c>
      <c r="G112" s="530" t="s">
        <v>43</v>
      </c>
      <c r="H112" s="530">
        <v>15689.559830120392</v>
      </c>
      <c r="I112" s="530">
        <v>27758.651550869785</v>
      </c>
      <c r="J112" s="530">
        <v>26157.250235500058</v>
      </c>
      <c r="K112" s="530">
        <v>32162.446619102462</v>
      </c>
      <c r="L112" s="530">
        <v>41721.14129624411</v>
      </c>
      <c r="M112" s="530">
        <v>39104.890580419233</v>
      </c>
      <c r="N112" s="530">
        <v>59040.700803699758</v>
      </c>
      <c r="O112" s="530">
        <v>67895.334542042197</v>
      </c>
      <c r="P112" s="530">
        <v>51187.787275790288</v>
      </c>
      <c r="Q112" s="530">
        <v>33019.236983313385</v>
      </c>
      <c r="R112" s="530">
        <v>28138.954608117849</v>
      </c>
      <c r="S112" s="530">
        <v>22129.222332087204</v>
      </c>
      <c r="T112" s="530">
        <v>444005.17665730667</v>
      </c>
      <c r="U112" s="530" t="s">
        <v>57</v>
      </c>
    </row>
    <row r="113" spans="1:21" ht="13.8" x14ac:dyDescent="0.3">
      <c r="A113" s="530" t="str">
        <f t="shared" si="2"/>
        <v>North Wales.2013.Economic Impact.Non-Serviced Accommodation</v>
      </c>
      <c r="B113" s="530" t="s">
        <v>220</v>
      </c>
      <c r="C113" s="530" t="str">
        <f t="shared" si="3"/>
        <v>2013.Economic Impact.Non-Serviced Accommodation</v>
      </c>
      <c r="D113" s="530" t="s">
        <v>230</v>
      </c>
      <c r="E113" s="530" t="s">
        <v>17</v>
      </c>
      <c r="F113" s="530" t="s">
        <v>48</v>
      </c>
      <c r="G113" s="530" t="s">
        <v>48</v>
      </c>
      <c r="H113" s="530">
        <v>21605.093040203017</v>
      </c>
      <c r="I113" s="530">
        <v>29232.462418515788</v>
      </c>
      <c r="J113" s="530">
        <v>100712.78210482931</v>
      </c>
      <c r="K113" s="530">
        <v>116070.11558585627</v>
      </c>
      <c r="L113" s="530">
        <v>143533.99421131375</v>
      </c>
      <c r="M113" s="530">
        <v>167855.39867836089</v>
      </c>
      <c r="N113" s="530">
        <v>220547.76979240734</v>
      </c>
      <c r="O113" s="530">
        <v>253194.11094983152</v>
      </c>
      <c r="P113" s="530">
        <v>168309.01418299251</v>
      </c>
      <c r="Q113" s="530">
        <v>111249.22185283275</v>
      </c>
      <c r="R113" s="530">
        <v>46798.926566315444</v>
      </c>
      <c r="S113" s="530">
        <v>31717.273112402581</v>
      </c>
      <c r="T113" s="530">
        <v>1410826.1624958613</v>
      </c>
      <c r="U113" s="530" t="s">
        <v>57</v>
      </c>
    </row>
    <row r="114" spans="1:21" ht="13.8" x14ac:dyDescent="0.3">
      <c r="A114" s="530" t="str">
        <f t="shared" si="2"/>
        <v>North Wales.2013.Economic Impact.SFR</v>
      </c>
      <c r="B114" s="530" t="s">
        <v>220</v>
      </c>
      <c r="C114" s="530" t="str">
        <f t="shared" si="3"/>
        <v>2013.Economic Impact.SFR</v>
      </c>
      <c r="D114" s="530" t="s">
        <v>230</v>
      </c>
      <c r="E114" s="530" t="s">
        <v>17</v>
      </c>
      <c r="F114" s="530" t="s">
        <v>18</v>
      </c>
      <c r="G114" s="530" t="s">
        <v>18</v>
      </c>
      <c r="H114" s="530">
        <v>12745.319119219586</v>
      </c>
      <c r="I114" s="530">
        <v>4282.4272240577802</v>
      </c>
      <c r="J114" s="530">
        <v>4871.5441966794879</v>
      </c>
      <c r="K114" s="530">
        <v>11623.731036728264</v>
      </c>
      <c r="L114" s="530">
        <v>7477.2538832754917</v>
      </c>
      <c r="M114" s="530">
        <v>5759.8646163577159</v>
      </c>
      <c r="N114" s="530">
        <v>9346.5673540943644</v>
      </c>
      <c r="O114" s="530">
        <v>9894.2195551815439</v>
      </c>
      <c r="P114" s="530">
        <v>5096.3263092523193</v>
      </c>
      <c r="Q114" s="530">
        <v>5091.3301441575841</v>
      </c>
      <c r="R114" s="530">
        <v>3967.1929978424164</v>
      </c>
      <c r="S114" s="530">
        <v>11487.780966123257</v>
      </c>
      <c r="T114" s="530">
        <v>91643.557402969804</v>
      </c>
      <c r="U114" s="530" t="s">
        <v>57</v>
      </c>
    </row>
    <row r="115" spans="1:21" ht="13.8" x14ac:dyDescent="0.3">
      <c r="A115" s="530" t="str">
        <f t="shared" si="2"/>
        <v>North Wales.2013.Economic Impact.Day Visitor</v>
      </c>
      <c r="B115" s="530" t="s">
        <v>220</v>
      </c>
      <c r="C115" s="530" t="str">
        <f t="shared" si="3"/>
        <v>2013.Economic Impact.Day Visitor</v>
      </c>
      <c r="D115" s="530" t="s">
        <v>230</v>
      </c>
      <c r="E115" s="530" t="s">
        <v>17</v>
      </c>
      <c r="F115" s="530" t="s">
        <v>71</v>
      </c>
      <c r="G115" s="530" t="s">
        <v>71</v>
      </c>
      <c r="H115" s="530">
        <v>17344.040832064988</v>
      </c>
      <c r="I115" s="530">
        <v>27858.488510081876</v>
      </c>
      <c r="J115" s="530">
        <v>37111.109056690853</v>
      </c>
      <c r="K115" s="530">
        <v>67751.269911849071</v>
      </c>
      <c r="L115" s="530">
        <v>78476.043748279844</v>
      </c>
      <c r="M115" s="530">
        <v>74817.479246085859</v>
      </c>
      <c r="N115" s="530">
        <v>100242.72345864751</v>
      </c>
      <c r="O115" s="530">
        <v>124950.97149631403</v>
      </c>
      <c r="P115" s="530">
        <v>63880.448240717611</v>
      </c>
      <c r="Q115" s="530">
        <v>53074.085932628164</v>
      </c>
      <c r="R115" s="530">
        <v>26101.645628554856</v>
      </c>
      <c r="S115" s="530">
        <v>20425.698116380761</v>
      </c>
      <c r="T115" s="530">
        <v>692034.00417829538</v>
      </c>
      <c r="U115" s="530" t="s">
        <v>57</v>
      </c>
    </row>
    <row r="116" spans="1:21" ht="13.8" x14ac:dyDescent="0.3">
      <c r="A116" s="530" t="str">
        <f t="shared" si="2"/>
        <v>North Wales.2013.Economic Impact.Accommodation</v>
      </c>
      <c r="B116" s="530" t="s">
        <v>220</v>
      </c>
      <c r="C116" s="530" t="str">
        <f t="shared" si="3"/>
        <v>2013.Economic Impact.Accommodation</v>
      </c>
      <c r="D116" s="530" t="s">
        <v>230</v>
      </c>
      <c r="E116" s="530" t="s">
        <v>17</v>
      </c>
      <c r="F116" s="530" t="s">
        <v>23</v>
      </c>
      <c r="G116" s="530" t="s">
        <v>23</v>
      </c>
      <c r="H116" s="530">
        <v>8428.5540018647607</v>
      </c>
      <c r="I116" s="530">
        <v>13994.79031663185</v>
      </c>
      <c r="J116" s="530">
        <v>19772.000599345603</v>
      </c>
      <c r="K116" s="530">
        <v>22113.58399633352</v>
      </c>
      <c r="L116" s="530">
        <v>27596.133932832337</v>
      </c>
      <c r="M116" s="530">
        <v>30390.676083801041</v>
      </c>
      <c r="N116" s="530">
        <v>53446.683497685633</v>
      </c>
      <c r="O116" s="530">
        <v>63586.476533817149</v>
      </c>
      <c r="P116" s="530">
        <v>47786.119975503279</v>
      </c>
      <c r="Q116" s="530">
        <v>21508.118631473033</v>
      </c>
      <c r="R116" s="530">
        <v>15014.605827076955</v>
      </c>
      <c r="S116" s="530">
        <v>11927.576027445955</v>
      </c>
      <c r="T116" s="530">
        <v>335565.31942381116</v>
      </c>
      <c r="U116" s="530" t="s">
        <v>57</v>
      </c>
    </row>
    <row r="117" spans="1:21" ht="13.8" x14ac:dyDescent="0.3">
      <c r="A117" s="530" t="str">
        <f t="shared" si="2"/>
        <v>North Wales.2013.Economic Impact.Food &amp; Drink</v>
      </c>
      <c r="B117" s="530" t="s">
        <v>220</v>
      </c>
      <c r="C117" s="530" t="str">
        <f t="shared" si="3"/>
        <v>2013.Economic Impact.Food &amp; Drink</v>
      </c>
      <c r="D117" s="530" t="s">
        <v>230</v>
      </c>
      <c r="E117" s="530" t="s">
        <v>17</v>
      </c>
      <c r="F117" s="530" t="s">
        <v>49</v>
      </c>
      <c r="G117" s="530" t="s">
        <v>49</v>
      </c>
      <c r="H117" s="530">
        <v>11461.08051713755</v>
      </c>
      <c r="I117" s="530">
        <v>13077.375870292426</v>
      </c>
      <c r="J117" s="530">
        <v>27855.228750422015</v>
      </c>
      <c r="K117" s="530">
        <v>38401.236727602329</v>
      </c>
      <c r="L117" s="530">
        <v>45153.315445068525</v>
      </c>
      <c r="M117" s="530">
        <v>47732.926934944917</v>
      </c>
      <c r="N117" s="530">
        <v>60745.361867243031</v>
      </c>
      <c r="O117" s="530">
        <v>69947.150940068808</v>
      </c>
      <c r="P117" s="530">
        <v>42906.15276748516</v>
      </c>
      <c r="Q117" s="530">
        <v>34147.28854302047</v>
      </c>
      <c r="R117" s="530">
        <v>16866.527339656863</v>
      </c>
      <c r="S117" s="530">
        <v>14058.356360154554</v>
      </c>
      <c r="T117" s="530">
        <v>422352.00206309668</v>
      </c>
      <c r="U117" s="530" t="s">
        <v>57</v>
      </c>
    </row>
    <row r="118" spans="1:21" ht="13.8" x14ac:dyDescent="0.3">
      <c r="A118" s="530" t="str">
        <f t="shared" si="2"/>
        <v>North Wales.2013.Economic Impact.Recreation</v>
      </c>
      <c r="B118" s="530" t="s">
        <v>220</v>
      </c>
      <c r="C118" s="530" t="str">
        <f t="shared" si="3"/>
        <v>2013.Economic Impact.Recreation</v>
      </c>
      <c r="D118" s="530" t="s">
        <v>230</v>
      </c>
      <c r="E118" s="530" t="s">
        <v>17</v>
      </c>
      <c r="F118" s="530" t="s">
        <v>50</v>
      </c>
      <c r="G118" s="530" t="s">
        <v>50</v>
      </c>
      <c r="H118" s="530">
        <v>3206.4140217173226</v>
      </c>
      <c r="I118" s="530">
        <v>4275.0626527761524</v>
      </c>
      <c r="J118" s="530">
        <v>9312.9553193034626</v>
      </c>
      <c r="K118" s="530">
        <v>12058.581557445686</v>
      </c>
      <c r="L118" s="530">
        <v>14328.057028560885</v>
      </c>
      <c r="M118" s="530">
        <v>16123.713758075879</v>
      </c>
      <c r="N118" s="530">
        <v>20012.833513560548</v>
      </c>
      <c r="O118" s="530">
        <v>23590.729563645611</v>
      </c>
      <c r="P118" s="530">
        <v>14073.499997906874</v>
      </c>
      <c r="Q118" s="530">
        <v>10790.531587702426</v>
      </c>
      <c r="R118" s="530">
        <v>5381.5287771182047</v>
      </c>
      <c r="S118" s="530">
        <v>4294.8986834496609</v>
      </c>
      <c r="T118" s="530">
        <v>137448.80646126272</v>
      </c>
      <c r="U118" s="530" t="s">
        <v>57</v>
      </c>
    </row>
    <row r="119" spans="1:21" ht="13.8" x14ac:dyDescent="0.3">
      <c r="A119" s="530" t="str">
        <f t="shared" si="2"/>
        <v>North Wales.2013.Economic Impact.Shopping</v>
      </c>
      <c r="B119" s="530" t="s">
        <v>220</v>
      </c>
      <c r="C119" s="530" t="str">
        <f t="shared" si="3"/>
        <v>2013.Economic Impact.Shopping</v>
      </c>
      <c r="D119" s="530" t="s">
        <v>230</v>
      </c>
      <c r="E119" s="530" t="s">
        <v>17</v>
      </c>
      <c r="F119" s="530" t="s">
        <v>51</v>
      </c>
      <c r="G119" s="530" t="s">
        <v>51</v>
      </c>
      <c r="H119" s="530">
        <v>14651.857113908307</v>
      </c>
      <c r="I119" s="530">
        <v>18788.50630637502</v>
      </c>
      <c r="J119" s="530">
        <v>35811.785782738705</v>
      </c>
      <c r="K119" s="530">
        <v>52288.968585554765</v>
      </c>
      <c r="L119" s="530">
        <v>61647.985017846542</v>
      </c>
      <c r="M119" s="530">
        <v>63301.306088183912</v>
      </c>
      <c r="N119" s="530">
        <v>81023.485066084846</v>
      </c>
      <c r="O119" s="530">
        <v>95040.847623660913</v>
      </c>
      <c r="P119" s="530">
        <v>55971.434445462102</v>
      </c>
      <c r="Q119" s="530">
        <v>44674.984356521949</v>
      </c>
      <c r="R119" s="530">
        <v>21484.488719693643</v>
      </c>
      <c r="S119" s="530">
        <v>17800.56230659004</v>
      </c>
      <c r="T119" s="530">
        <v>562486.21141262073</v>
      </c>
      <c r="U119" s="530" t="s">
        <v>57</v>
      </c>
    </row>
    <row r="120" spans="1:21" ht="13.8" x14ac:dyDescent="0.3">
      <c r="A120" s="530" t="str">
        <f t="shared" si="2"/>
        <v>North Wales.2013.Economic Impact.Transport</v>
      </c>
      <c r="B120" s="530" t="s">
        <v>220</v>
      </c>
      <c r="C120" s="530" t="str">
        <f t="shared" si="3"/>
        <v>2013.Economic Impact.Transport</v>
      </c>
      <c r="D120" s="530" t="s">
        <v>230</v>
      </c>
      <c r="E120" s="530" t="s">
        <v>17</v>
      </c>
      <c r="F120" s="530" t="s">
        <v>52</v>
      </c>
      <c r="G120" s="530" t="s">
        <v>52</v>
      </c>
      <c r="H120" s="530">
        <v>4465.5711498157443</v>
      </c>
      <c r="I120" s="530">
        <v>5794.0854961926507</v>
      </c>
      <c r="J120" s="530">
        <v>12512.274664926197</v>
      </c>
      <c r="K120" s="530">
        <v>17106.462881413867</v>
      </c>
      <c r="L120" s="530">
        <v>20397.375519152458</v>
      </c>
      <c r="M120" s="530">
        <v>21683.085679776304</v>
      </c>
      <c r="N120" s="530">
        <v>27564.115354214562</v>
      </c>
      <c r="O120" s="530">
        <v>31969.858208763035</v>
      </c>
      <c r="P120" s="530">
        <v>19172.390834713595</v>
      </c>
      <c r="Q120" s="530">
        <v>15075.641986443366</v>
      </c>
      <c r="R120" s="530">
        <v>7230.2485950435866</v>
      </c>
      <c r="S120" s="530">
        <v>5725.7959525065426</v>
      </c>
      <c r="T120" s="530">
        <v>188696.90632296191</v>
      </c>
      <c r="U120" s="530" t="s">
        <v>57</v>
      </c>
    </row>
    <row r="121" spans="1:21" ht="13.8" x14ac:dyDescent="0.3">
      <c r="A121" s="530" t="str">
        <f t="shared" si="2"/>
        <v>North Wales.2013.Economic Impact.Direct Expenditure</v>
      </c>
      <c r="B121" s="530" t="s">
        <v>220</v>
      </c>
      <c r="C121" s="530" t="str">
        <f t="shared" si="3"/>
        <v>2013.Economic Impact.Direct Expenditure</v>
      </c>
      <c r="D121" s="530" t="s">
        <v>230</v>
      </c>
      <c r="E121" s="530" t="s">
        <v>17</v>
      </c>
      <c r="F121" s="530" t="s">
        <v>44</v>
      </c>
      <c r="G121" s="530" t="s">
        <v>44</v>
      </c>
      <c r="H121" s="530">
        <v>50656.17216533242</v>
      </c>
      <c r="I121" s="530">
        <v>67115.78477072173</v>
      </c>
      <c r="J121" s="530">
        <v>126317.09414008318</v>
      </c>
      <c r="K121" s="530">
        <v>170362.60049802021</v>
      </c>
      <c r="L121" s="530">
        <v>202947.44033215288</v>
      </c>
      <c r="M121" s="530">
        <v>215078.05025373845</v>
      </c>
      <c r="N121" s="530">
        <v>291350.97515854635</v>
      </c>
      <c r="O121" s="530">
        <v>340962.07544394658</v>
      </c>
      <c r="P121" s="530">
        <v>215891.5176252852</v>
      </c>
      <c r="Q121" s="530">
        <v>151435.87812619351</v>
      </c>
      <c r="R121" s="530">
        <v>79172.879110307098</v>
      </c>
      <c r="S121" s="530">
        <v>64568.627196176109</v>
      </c>
      <c r="T121" s="530">
        <v>1975859.0948205036</v>
      </c>
      <c r="U121" s="530" t="s">
        <v>57</v>
      </c>
    </row>
    <row r="122" spans="1:21" ht="13.8" x14ac:dyDescent="0.3">
      <c r="A122" s="530" t="str">
        <f t="shared" si="2"/>
        <v>North Wales.2013.Population.Total</v>
      </c>
      <c r="B122" s="530" t="s">
        <v>220</v>
      </c>
      <c r="C122" s="530" t="str">
        <f t="shared" si="3"/>
        <v>2013.Population.Total</v>
      </c>
      <c r="D122" s="530" t="s">
        <v>230</v>
      </c>
      <c r="E122" s="530" t="s">
        <v>19</v>
      </c>
      <c r="F122" s="530" t="s">
        <v>54</v>
      </c>
      <c r="G122" s="530" t="s">
        <v>54</v>
      </c>
      <c r="H122" s="530">
        <v>690434</v>
      </c>
      <c r="I122" s="530">
        <v>690434</v>
      </c>
      <c r="J122" s="530">
        <v>690434</v>
      </c>
      <c r="K122" s="530">
        <v>690434</v>
      </c>
      <c r="L122" s="530">
        <v>690434</v>
      </c>
      <c r="M122" s="530">
        <v>690434</v>
      </c>
      <c r="N122" s="530">
        <v>690434</v>
      </c>
      <c r="O122" s="530">
        <v>690434</v>
      </c>
      <c r="P122" s="530">
        <v>690434</v>
      </c>
      <c r="Q122" s="530">
        <v>690434</v>
      </c>
      <c r="R122" s="530">
        <v>690434</v>
      </c>
      <c r="S122" s="530">
        <v>690434</v>
      </c>
      <c r="T122" s="530">
        <v>690434</v>
      </c>
      <c r="U122" s="530" t="s">
        <v>60</v>
      </c>
    </row>
    <row r="123" spans="1:21" ht="13.8" x14ac:dyDescent="0.3">
      <c r="A123" s="530" t="str">
        <f t="shared" si="2"/>
        <v>North Wales.2013.Employment.Serviced Accommodation</v>
      </c>
      <c r="B123" s="530" t="s">
        <v>220</v>
      </c>
      <c r="C123" s="530" t="str">
        <f t="shared" si="3"/>
        <v>2013.Employment.Serviced Accommodation</v>
      </c>
      <c r="D123" s="530" t="s">
        <v>230</v>
      </c>
      <c r="E123" s="530" t="s">
        <v>20</v>
      </c>
      <c r="F123" s="530" t="s">
        <v>43</v>
      </c>
      <c r="G123" s="530" t="s">
        <v>43</v>
      </c>
      <c r="H123" s="530">
        <v>5768.7171662830806</v>
      </c>
      <c r="I123" s="530">
        <v>6780.4154363029402</v>
      </c>
      <c r="J123" s="530">
        <v>7043.5817081237801</v>
      </c>
      <c r="K123" s="530">
        <v>7553.8319212341312</v>
      </c>
      <c r="L123" s="530">
        <v>8200.1821830528897</v>
      </c>
      <c r="M123" s="530">
        <v>8036.8040932948397</v>
      </c>
      <c r="N123" s="530">
        <v>8354.8598309109984</v>
      </c>
      <c r="O123" s="530">
        <v>8939.184745153887</v>
      </c>
      <c r="P123" s="530">
        <v>7947.7461852763263</v>
      </c>
      <c r="Q123" s="530">
        <v>7571.2475504413478</v>
      </c>
      <c r="R123" s="530">
        <v>6999.8445788790386</v>
      </c>
      <c r="S123" s="530">
        <v>6423.4027707935065</v>
      </c>
      <c r="T123" s="530">
        <v>7468.3181808122299</v>
      </c>
      <c r="U123" s="530" t="s">
        <v>59</v>
      </c>
    </row>
    <row r="124" spans="1:21" ht="13.8" x14ac:dyDescent="0.3">
      <c r="A124" s="530" t="str">
        <f t="shared" si="2"/>
        <v>North Wales.2013.Employment.Non-Serviced Accommodation</v>
      </c>
      <c r="B124" s="530" t="s">
        <v>220</v>
      </c>
      <c r="C124" s="530" t="str">
        <f t="shared" si="3"/>
        <v>2013.Employment.Non-Serviced Accommodation</v>
      </c>
      <c r="D124" s="530" t="s">
        <v>230</v>
      </c>
      <c r="E124" s="530" t="s">
        <v>20</v>
      </c>
      <c r="F124" s="530" t="s">
        <v>48</v>
      </c>
      <c r="G124" s="530" t="s">
        <v>48</v>
      </c>
      <c r="H124" s="530">
        <v>6436.0171743276278</v>
      </c>
      <c r="I124" s="530">
        <v>7249.0378291087227</v>
      </c>
      <c r="J124" s="530">
        <v>16249.928229414039</v>
      </c>
      <c r="K124" s="530">
        <v>18607.037072261093</v>
      </c>
      <c r="L124" s="530">
        <v>21892.567042972511</v>
      </c>
      <c r="M124" s="530">
        <v>24659.956236718161</v>
      </c>
      <c r="N124" s="530">
        <v>28949.611831108869</v>
      </c>
      <c r="O124" s="530">
        <v>32342.809553891737</v>
      </c>
      <c r="P124" s="530">
        <v>22385.077384670396</v>
      </c>
      <c r="Q124" s="530">
        <v>18013.885560927632</v>
      </c>
      <c r="R124" s="530">
        <v>9707.0806901274718</v>
      </c>
      <c r="S124" s="530">
        <v>7643.4242952210716</v>
      </c>
      <c r="T124" s="530">
        <v>17844.702741729114</v>
      </c>
      <c r="U124" s="530" t="s">
        <v>59</v>
      </c>
    </row>
    <row r="125" spans="1:21" ht="13.8" x14ac:dyDescent="0.3">
      <c r="A125" s="530" t="str">
        <f t="shared" si="2"/>
        <v>North Wales.2013.Employment.SFR</v>
      </c>
      <c r="B125" s="530" t="s">
        <v>220</v>
      </c>
      <c r="C125" s="530" t="str">
        <f t="shared" si="3"/>
        <v>2013.Employment.SFR</v>
      </c>
      <c r="D125" s="530" t="s">
        <v>230</v>
      </c>
      <c r="E125" s="530" t="s">
        <v>20</v>
      </c>
      <c r="F125" s="530" t="s">
        <v>18</v>
      </c>
      <c r="G125" s="530" t="s">
        <v>18</v>
      </c>
      <c r="H125" s="530">
        <v>1758.6662651402889</v>
      </c>
      <c r="I125" s="530">
        <v>590.91186508713702</v>
      </c>
      <c r="J125" s="530">
        <v>672.20132800917725</v>
      </c>
      <c r="K125" s="530">
        <v>1603.9036338079436</v>
      </c>
      <c r="L125" s="530">
        <v>1031.7508755489698</v>
      </c>
      <c r="M125" s="530">
        <v>794.77645854219952</v>
      </c>
      <c r="N125" s="530">
        <v>1289.688594436212</v>
      </c>
      <c r="O125" s="530">
        <v>1365.2565297756623</v>
      </c>
      <c r="P125" s="530">
        <v>703.21794789064245</v>
      </c>
      <c r="Q125" s="530">
        <v>702.52855071470754</v>
      </c>
      <c r="R125" s="530">
        <v>547.41418612933398</v>
      </c>
      <c r="S125" s="530">
        <v>1585.1445269797807</v>
      </c>
      <c r="T125" s="530">
        <v>1053.7883968385047</v>
      </c>
      <c r="U125" s="530" t="s">
        <v>59</v>
      </c>
    </row>
    <row r="126" spans="1:21" ht="13.8" x14ac:dyDescent="0.3">
      <c r="A126" s="530" t="str">
        <f t="shared" si="2"/>
        <v>North Wales.2013.Employment.Day Visitor</v>
      </c>
      <c r="B126" s="530" t="s">
        <v>220</v>
      </c>
      <c r="C126" s="530" t="str">
        <f t="shared" si="3"/>
        <v>2013.Employment.Day Visitor</v>
      </c>
      <c r="D126" s="530" t="s">
        <v>230</v>
      </c>
      <c r="E126" s="530" t="s">
        <v>20</v>
      </c>
      <c r="F126" s="530" t="s">
        <v>71</v>
      </c>
      <c r="G126" s="530" t="s">
        <v>71</v>
      </c>
      <c r="H126" s="530">
        <v>2337.9492816713864</v>
      </c>
      <c r="I126" s="530">
        <v>3723.9280250675465</v>
      </c>
      <c r="J126" s="530">
        <v>4954.3520119536597</v>
      </c>
      <c r="K126" s="530">
        <v>9022.3239573187602</v>
      </c>
      <c r="L126" s="530">
        <v>10437.112387969933</v>
      </c>
      <c r="M126" s="530">
        <v>9962.3069799856494</v>
      </c>
      <c r="N126" s="530">
        <v>13357.692640706739</v>
      </c>
      <c r="O126" s="530">
        <v>16659.289643950444</v>
      </c>
      <c r="P126" s="530">
        <v>8514.6409295124467</v>
      </c>
      <c r="Q126" s="530">
        <v>7096.3292569914156</v>
      </c>
      <c r="R126" s="530">
        <v>3504.3874964846432</v>
      </c>
      <c r="S126" s="530">
        <v>2752.8709613273104</v>
      </c>
      <c r="T126" s="530">
        <v>7693.5986310783273</v>
      </c>
      <c r="U126" s="530" t="s">
        <v>59</v>
      </c>
    </row>
    <row r="127" spans="1:21" ht="13.8" x14ac:dyDescent="0.3">
      <c r="A127" s="530" t="str">
        <f t="shared" si="2"/>
        <v>North Wales.2013.Employment.Direct Employment</v>
      </c>
      <c r="B127" s="530" t="s">
        <v>220</v>
      </c>
      <c r="C127" s="530" t="str">
        <f t="shared" si="3"/>
        <v>2013.Employment.Direct Employment</v>
      </c>
      <c r="D127" s="530" t="s">
        <v>230</v>
      </c>
      <c r="E127" s="530" t="s">
        <v>20</v>
      </c>
      <c r="F127" s="530" t="s">
        <v>55</v>
      </c>
      <c r="G127" s="530" t="s">
        <v>55</v>
      </c>
      <c r="H127" s="530">
        <v>16301.349887422384</v>
      </c>
      <c r="I127" s="530">
        <v>18344.293155566345</v>
      </c>
      <c r="J127" s="530">
        <v>28920.06327750066</v>
      </c>
      <c r="K127" s="530">
        <v>36787.096584621926</v>
      </c>
      <c r="L127" s="530">
        <v>41561.612489544306</v>
      </c>
      <c r="M127" s="530">
        <v>43453.84376854085</v>
      </c>
      <c r="N127" s="530">
        <v>51951.852897162826</v>
      </c>
      <c r="O127" s="530">
        <v>59306.540472771732</v>
      </c>
      <c r="P127" s="530">
        <v>39550.682447349805</v>
      </c>
      <c r="Q127" s="530">
        <v>33383.990919075099</v>
      </c>
      <c r="R127" s="530">
        <v>20758.726951620487</v>
      </c>
      <c r="S127" s="530">
        <v>18404.842554321669</v>
      </c>
      <c r="T127" s="530">
        <v>34060.407950458175</v>
      </c>
      <c r="U127" s="530" t="s">
        <v>59</v>
      </c>
    </row>
    <row r="128" spans="1:21" ht="13.8" x14ac:dyDescent="0.3">
      <c r="A128" s="530" t="str">
        <f t="shared" si="2"/>
        <v>North Wales.2013.Employment.Indirect Employment</v>
      </c>
      <c r="B128" s="530" t="s">
        <v>220</v>
      </c>
      <c r="C128" s="530" t="str">
        <f t="shared" si="3"/>
        <v>2013.Employment.Indirect Employment</v>
      </c>
      <c r="D128" s="530" t="s">
        <v>230</v>
      </c>
      <c r="E128" s="530" t="s">
        <v>20</v>
      </c>
      <c r="F128" s="530" t="s">
        <v>53</v>
      </c>
      <c r="G128" s="530" t="s">
        <v>53</v>
      </c>
      <c r="H128" s="530">
        <v>2582.8529661346479</v>
      </c>
      <c r="I128" s="530">
        <v>3399.4060976725805</v>
      </c>
      <c r="J128" s="530">
        <v>6567.6844256075074</v>
      </c>
      <c r="K128" s="530">
        <v>8838.8767342542433</v>
      </c>
      <c r="L128" s="530">
        <v>10539.800764817195</v>
      </c>
      <c r="M128" s="530">
        <v>11188.081736297032</v>
      </c>
      <c r="N128" s="530">
        <v>15104.890716377233</v>
      </c>
      <c r="O128" s="530">
        <v>17752.274579943187</v>
      </c>
      <c r="P128" s="530">
        <v>11206.992500467608</v>
      </c>
      <c r="Q128" s="530">
        <v>7874.3174312900173</v>
      </c>
      <c r="R128" s="530">
        <v>3988.85985497095</v>
      </c>
      <c r="S128" s="530">
        <v>3272.0382405877467</v>
      </c>
      <c r="T128" s="530">
        <v>8526.3396707016618</v>
      </c>
      <c r="U128" s="530" t="s">
        <v>59</v>
      </c>
    </row>
    <row r="129" spans="1:21" ht="13.8" x14ac:dyDescent="0.3">
      <c r="A129" s="530" t="str">
        <f t="shared" si="2"/>
        <v>North Wales.2013.Employment.Total</v>
      </c>
      <c r="B129" s="530" t="s">
        <v>220</v>
      </c>
      <c r="C129" s="530" t="str">
        <f t="shared" si="3"/>
        <v>2013.Employment.Total</v>
      </c>
      <c r="D129" s="530" t="s">
        <v>230</v>
      </c>
      <c r="E129" s="530" t="s">
        <v>20</v>
      </c>
      <c r="F129" s="530" t="s">
        <v>54</v>
      </c>
      <c r="G129" s="530" t="s">
        <v>54</v>
      </c>
      <c r="H129" s="530">
        <v>18884.202853557032</v>
      </c>
      <c r="I129" s="530">
        <v>21743.699253238927</v>
      </c>
      <c r="J129" s="530">
        <v>35487.747703108165</v>
      </c>
      <c r="K129" s="530">
        <v>45625.973318876175</v>
      </c>
      <c r="L129" s="530">
        <v>52101.413254361498</v>
      </c>
      <c r="M129" s="530">
        <v>54641.925504837876</v>
      </c>
      <c r="N129" s="530">
        <v>67056.743613540064</v>
      </c>
      <c r="O129" s="530">
        <v>77058.815052714912</v>
      </c>
      <c r="P129" s="530">
        <v>50757.674947817424</v>
      </c>
      <c r="Q129" s="530">
        <v>41258.308350365114</v>
      </c>
      <c r="R129" s="530">
        <v>24747.58680659144</v>
      </c>
      <c r="S129" s="530">
        <v>21676.880794909415</v>
      </c>
      <c r="T129" s="530">
        <v>42586.747621159833</v>
      </c>
      <c r="U129" s="530" t="s">
        <v>59</v>
      </c>
    </row>
    <row r="130" spans="1:21" ht="13.8" x14ac:dyDescent="0.3">
      <c r="A130" s="530" t="str">
        <f t="shared" si="2"/>
        <v>North Wales.2013.Employment.Accommodation</v>
      </c>
      <c r="B130" s="530" t="s">
        <v>220</v>
      </c>
      <c r="C130" s="530" t="str">
        <f t="shared" si="3"/>
        <v>2013.Employment.Accommodation</v>
      </c>
      <c r="D130" s="530" t="s">
        <v>230</v>
      </c>
      <c r="E130" s="530" t="s">
        <v>20</v>
      </c>
      <c r="F130" s="530" t="s">
        <v>23</v>
      </c>
      <c r="G130" s="530" t="s">
        <v>23</v>
      </c>
      <c r="H130" s="530">
        <v>8963.3882660548188</v>
      </c>
      <c r="I130" s="530">
        <v>9267.0339547319145</v>
      </c>
      <c r="J130" s="530">
        <v>10423.845437057666</v>
      </c>
      <c r="K130" s="530">
        <v>10893.826224418444</v>
      </c>
      <c r="L130" s="530">
        <v>11006.073021045655</v>
      </c>
      <c r="M130" s="530">
        <v>11263.557545650321</v>
      </c>
      <c r="N130" s="530">
        <v>11034.795292366121</v>
      </c>
      <c r="O130" s="530">
        <v>11628.354972900528</v>
      </c>
      <c r="P130" s="530">
        <v>10973.557484100898</v>
      </c>
      <c r="Q130" s="530">
        <v>10750.808643155102</v>
      </c>
      <c r="R130" s="530">
        <v>9714.301835313725</v>
      </c>
      <c r="S130" s="530">
        <v>9309.9234352507738</v>
      </c>
      <c r="T130" s="530">
        <v>10435.788842670498</v>
      </c>
      <c r="U130" s="530" t="s">
        <v>59</v>
      </c>
    </row>
    <row r="131" spans="1:21" ht="13.8" x14ac:dyDescent="0.3">
      <c r="A131" s="530" t="str">
        <f t="shared" si="2"/>
        <v>North Wales.2013.Employment.Food &amp; Drink</v>
      </c>
      <c r="B131" s="530" t="s">
        <v>220</v>
      </c>
      <c r="C131" s="530" t="str">
        <f t="shared" si="3"/>
        <v>2013.Employment.Food &amp; Drink</v>
      </c>
      <c r="D131" s="530" t="s">
        <v>230</v>
      </c>
      <c r="E131" s="530" t="s">
        <v>20</v>
      </c>
      <c r="F131" s="530" t="s">
        <v>49</v>
      </c>
      <c r="G131" s="530" t="s">
        <v>49</v>
      </c>
      <c r="H131" s="530">
        <v>2739.0597348232041</v>
      </c>
      <c r="I131" s="530">
        <v>3125.3347910701746</v>
      </c>
      <c r="J131" s="530">
        <v>6657.0630369872079</v>
      </c>
      <c r="K131" s="530">
        <v>9177.4314935411912</v>
      </c>
      <c r="L131" s="530">
        <v>10791.096707193086</v>
      </c>
      <c r="M131" s="530">
        <v>11407.592678305276</v>
      </c>
      <c r="N131" s="530">
        <v>14517.407370015198</v>
      </c>
      <c r="O131" s="530">
        <v>16716.523753503279</v>
      </c>
      <c r="P131" s="530">
        <v>10254.0519845282</v>
      </c>
      <c r="Q131" s="530">
        <v>8160.7892869892275</v>
      </c>
      <c r="R131" s="530">
        <v>4030.8961998189579</v>
      </c>
      <c r="S131" s="530">
        <v>3359.7772728598043</v>
      </c>
      <c r="T131" s="530">
        <v>8411.4186924695678</v>
      </c>
      <c r="U131" s="530" t="s">
        <v>59</v>
      </c>
    </row>
    <row r="132" spans="1:21" ht="13.8" x14ac:dyDescent="0.3">
      <c r="A132" s="530" t="str">
        <f t="shared" si="2"/>
        <v>North Wales.2013.Employment.Recreation</v>
      </c>
      <c r="B132" s="530" t="s">
        <v>220</v>
      </c>
      <c r="C132" s="530" t="str">
        <f t="shared" si="3"/>
        <v>2013.Employment.Recreation</v>
      </c>
      <c r="D132" s="530" t="s">
        <v>230</v>
      </c>
      <c r="E132" s="530" t="s">
        <v>20</v>
      </c>
      <c r="F132" s="530" t="s">
        <v>50</v>
      </c>
      <c r="G132" s="530" t="s">
        <v>50</v>
      </c>
      <c r="H132" s="530">
        <v>929.90704852321142</v>
      </c>
      <c r="I132" s="530">
        <v>1239.8308099855719</v>
      </c>
      <c r="J132" s="530">
        <v>2700.8935013837422</v>
      </c>
      <c r="K132" s="530">
        <v>3497.1653409421488</v>
      </c>
      <c r="L132" s="530">
        <v>4155.3464812274105</v>
      </c>
      <c r="M132" s="530">
        <v>4676.113243783484</v>
      </c>
      <c r="N132" s="530">
        <v>5804.0149584968867</v>
      </c>
      <c r="O132" s="530">
        <v>6841.6572384154015</v>
      </c>
      <c r="P132" s="530">
        <v>4081.5212124215063</v>
      </c>
      <c r="Q132" s="530">
        <v>3129.4122695180313</v>
      </c>
      <c r="R132" s="530">
        <v>1560.7221986237614</v>
      </c>
      <c r="S132" s="530">
        <v>1245.5835495298363</v>
      </c>
      <c r="T132" s="530">
        <v>3321.8473210709162</v>
      </c>
      <c r="U132" s="530" t="s">
        <v>59</v>
      </c>
    </row>
    <row r="133" spans="1:21" ht="13.8" x14ac:dyDescent="0.3">
      <c r="A133" s="530" t="str">
        <f t="shared" si="2"/>
        <v>North Wales.2013.Employment.Shopping</v>
      </c>
      <c r="B133" s="530" t="s">
        <v>220</v>
      </c>
      <c r="C133" s="530" t="str">
        <f t="shared" si="3"/>
        <v>2013.Employment.Shopping</v>
      </c>
      <c r="D133" s="530" t="s">
        <v>230</v>
      </c>
      <c r="E133" s="530" t="s">
        <v>20</v>
      </c>
      <c r="F133" s="530" t="s">
        <v>51</v>
      </c>
      <c r="G133" s="530" t="s">
        <v>51</v>
      </c>
      <c r="H133" s="530">
        <v>3192.2112757941677</v>
      </c>
      <c r="I133" s="530">
        <v>4093.4661879555847</v>
      </c>
      <c r="J133" s="530">
        <v>7802.3410611523359</v>
      </c>
      <c r="K133" s="530">
        <v>11392.237435895287</v>
      </c>
      <c r="L133" s="530">
        <v>13431.293478637124</v>
      </c>
      <c r="M133" s="530">
        <v>13791.503800250834</v>
      </c>
      <c r="N133" s="530">
        <v>17652.648440488672</v>
      </c>
      <c r="O133" s="530">
        <v>20706.62190373749</v>
      </c>
      <c r="P133" s="530">
        <v>12194.53907925247</v>
      </c>
      <c r="Q133" s="530">
        <v>9733.3728891911378</v>
      </c>
      <c r="R133" s="530">
        <v>4680.8419309915371</v>
      </c>
      <c r="S133" s="530">
        <v>3878.2220757963755</v>
      </c>
      <c r="T133" s="530">
        <v>10212.441629928586</v>
      </c>
      <c r="U133" s="530" t="s">
        <v>59</v>
      </c>
    </row>
    <row r="134" spans="1:21" ht="13.8" x14ac:dyDescent="0.3">
      <c r="A134" s="530" t="str">
        <f t="shared" si="2"/>
        <v>North Wales.2013.Employment.Transport</v>
      </c>
      <c r="B134" s="530" t="s">
        <v>220</v>
      </c>
      <c r="C134" s="530" t="str">
        <f t="shared" si="3"/>
        <v>2013.Employment.Transport</v>
      </c>
      <c r="D134" s="530" t="s">
        <v>230</v>
      </c>
      <c r="E134" s="530" t="s">
        <v>20</v>
      </c>
      <c r="F134" s="530" t="s">
        <v>52</v>
      </c>
      <c r="G134" s="530" t="s">
        <v>52</v>
      </c>
      <c r="H134" s="530">
        <v>476.78356222698233</v>
      </c>
      <c r="I134" s="530">
        <v>618.62741182310128</v>
      </c>
      <c r="J134" s="530">
        <v>1335.9202409197051</v>
      </c>
      <c r="K134" s="530">
        <v>1826.4360898248553</v>
      </c>
      <c r="L134" s="530">
        <v>2177.8028014410261</v>
      </c>
      <c r="M134" s="530">
        <v>2315.0765005509274</v>
      </c>
      <c r="N134" s="530">
        <v>2942.9868357959404</v>
      </c>
      <c r="O134" s="530">
        <v>3413.3826042150304</v>
      </c>
      <c r="P134" s="530">
        <v>2047.0126870467325</v>
      </c>
      <c r="Q134" s="530">
        <v>1609.6078302216074</v>
      </c>
      <c r="R134" s="530">
        <v>771.96478687250442</v>
      </c>
      <c r="S134" s="530">
        <v>611.33622088488028</v>
      </c>
      <c r="T134" s="530">
        <v>1678.9114643186078</v>
      </c>
      <c r="U134" s="530" t="s">
        <v>59</v>
      </c>
    </row>
    <row r="135" spans="1:21" ht="13.8" x14ac:dyDescent="0.3">
      <c r="A135" s="530" t="str">
        <f t="shared" si="2"/>
        <v>North Wales.2013.Visitor Days.Serviced Accommodation</v>
      </c>
      <c r="B135" s="530" t="s">
        <v>220</v>
      </c>
      <c r="C135" s="530" t="str">
        <f t="shared" si="3"/>
        <v>2013.Visitor Days.Serviced Accommodation</v>
      </c>
      <c r="D135" s="530" t="s">
        <v>230</v>
      </c>
      <c r="E135" s="530" t="s">
        <v>171</v>
      </c>
      <c r="F135" s="530" t="s">
        <v>43</v>
      </c>
      <c r="G135" s="530" t="s">
        <v>43</v>
      </c>
      <c r="H135" s="530">
        <v>178.17919093886488</v>
      </c>
      <c r="I135" s="530">
        <v>315.71530085930755</v>
      </c>
      <c r="J135" s="530">
        <v>299.63762111135605</v>
      </c>
      <c r="K135" s="530">
        <v>370.70219393291569</v>
      </c>
      <c r="L135" s="530">
        <v>482.01850627054961</v>
      </c>
      <c r="M135" s="530">
        <v>451.82214633913463</v>
      </c>
      <c r="N135" s="530">
        <v>500.93968677720989</v>
      </c>
      <c r="O135" s="530">
        <v>572.25638876818073</v>
      </c>
      <c r="P135" s="530">
        <v>430.49330096261724</v>
      </c>
      <c r="Q135" s="530">
        <v>377.03029992183747</v>
      </c>
      <c r="R135" s="530">
        <v>320.2336754784626</v>
      </c>
      <c r="S135" s="530">
        <v>252.48045344308468</v>
      </c>
      <c r="T135" s="530">
        <v>4551.5087648035214</v>
      </c>
      <c r="U135" s="530" t="s">
        <v>61</v>
      </c>
    </row>
    <row r="136" spans="1:21" ht="13.8" x14ac:dyDescent="0.3">
      <c r="A136" s="530" t="str">
        <f t="shared" si="2"/>
        <v>North Wales.2013.Visitor Days.Non-Serviced Accommodation</v>
      </c>
      <c r="B136" s="530" t="s">
        <v>220</v>
      </c>
      <c r="C136" s="530" t="str">
        <f t="shared" si="3"/>
        <v>2013.Visitor Days.Non-Serviced Accommodation</v>
      </c>
      <c r="D136" s="530" t="s">
        <v>230</v>
      </c>
      <c r="E136" s="530" t="s">
        <v>171</v>
      </c>
      <c r="F136" s="530" t="s">
        <v>48</v>
      </c>
      <c r="G136" s="530" t="s">
        <v>48</v>
      </c>
      <c r="H136" s="530">
        <v>547.82171082834998</v>
      </c>
      <c r="I136" s="530">
        <v>699.99345119812961</v>
      </c>
      <c r="J136" s="530">
        <v>2613.145385997605</v>
      </c>
      <c r="K136" s="530">
        <v>3127.2791535980041</v>
      </c>
      <c r="L136" s="530">
        <v>3871.7504222480634</v>
      </c>
      <c r="M136" s="530">
        <v>4429.7904519520152</v>
      </c>
      <c r="N136" s="530">
        <v>5502.7694613822159</v>
      </c>
      <c r="O136" s="530">
        <v>6166.2945807007463</v>
      </c>
      <c r="P136" s="530">
        <v>4002.4822233193427</v>
      </c>
      <c r="Q136" s="530">
        <v>3019.7159306554354</v>
      </c>
      <c r="R136" s="530">
        <v>1253.504133974146</v>
      </c>
      <c r="S136" s="530">
        <v>790.24168980771651</v>
      </c>
      <c r="T136" s="530">
        <v>36024.788595661768</v>
      </c>
      <c r="U136" s="530" t="s">
        <v>61</v>
      </c>
    </row>
    <row r="137" spans="1:21" ht="13.8" x14ac:dyDescent="0.3">
      <c r="A137" s="530" t="str">
        <f t="shared" ref="A137:A200" si="4">B137&amp;"."&amp;D137&amp;"."&amp;E137&amp;"."&amp;F137</f>
        <v>North Wales.2013.Visitor Days.SFR</v>
      </c>
      <c r="B137" s="530" t="s">
        <v>220</v>
      </c>
      <c r="C137" s="530" t="str">
        <f t="shared" ref="C137:C200" si="5">D137&amp;"."&amp;E137&amp;"."&amp;F137</f>
        <v>2013.Visitor Days.SFR</v>
      </c>
      <c r="D137" s="530" t="s">
        <v>230</v>
      </c>
      <c r="E137" s="530" t="s">
        <v>171</v>
      </c>
      <c r="F137" s="530" t="s">
        <v>18</v>
      </c>
      <c r="G137" s="530" t="s">
        <v>18</v>
      </c>
      <c r="H137" s="530">
        <v>353.06284090909088</v>
      </c>
      <c r="I137" s="530">
        <v>118.62911454545451</v>
      </c>
      <c r="J137" s="530">
        <v>134.94846363636364</v>
      </c>
      <c r="K137" s="530">
        <v>321.99331090909089</v>
      </c>
      <c r="L137" s="530">
        <v>207.13020000000003</v>
      </c>
      <c r="M137" s="530">
        <v>159.55615906363639</v>
      </c>
      <c r="N137" s="530">
        <v>258.91274999999996</v>
      </c>
      <c r="O137" s="530">
        <v>274.08346798181816</v>
      </c>
      <c r="P137" s="530">
        <v>141.17523681545455</v>
      </c>
      <c r="Q137" s="530">
        <v>141.03683618181819</v>
      </c>
      <c r="R137" s="530">
        <v>109.89669361363634</v>
      </c>
      <c r="S137" s="530">
        <v>318.22730727272733</v>
      </c>
      <c r="T137" s="530">
        <v>2538.6523809290907</v>
      </c>
      <c r="U137" s="530" t="s">
        <v>61</v>
      </c>
    </row>
    <row r="138" spans="1:21" ht="13.8" x14ac:dyDescent="0.3">
      <c r="A138" s="530" t="str">
        <f t="shared" si="4"/>
        <v>North Wales.2013.Visitor Days.Day Visitor</v>
      </c>
      <c r="B138" s="530" t="s">
        <v>220</v>
      </c>
      <c r="C138" s="530" t="str">
        <f t="shared" si="5"/>
        <v>2013.Visitor Days.Day Visitor</v>
      </c>
      <c r="D138" s="530" t="s">
        <v>230</v>
      </c>
      <c r="E138" s="530" t="s">
        <v>171</v>
      </c>
      <c r="F138" s="530" t="s">
        <v>71</v>
      </c>
      <c r="G138" s="530" t="s">
        <v>71</v>
      </c>
      <c r="H138" s="530">
        <v>492.20600750495475</v>
      </c>
      <c r="I138" s="530">
        <v>740.31452404106903</v>
      </c>
      <c r="J138" s="530">
        <v>975.92975574125899</v>
      </c>
      <c r="K138" s="530">
        <v>1745.5965024152131</v>
      </c>
      <c r="L138" s="530">
        <v>2000.407301659581</v>
      </c>
      <c r="M138" s="530">
        <v>1926.0332803283211</v>
      </c>
      <c r="N138" s="530">
        <v>2596.4192181181688</v>
      </c>
      <c r="O138" s="530">
        <v>3251.0485945166538</v>
      </c>
      <c r="P138" s="530">
        <v>1658.3537788712335</v>
      </c>
      <c r="Q138" s="530">
        <v>1413.2148953695983</v>
      </c>
      <c r="R138" s="530">
        <v>718.16856428350331</v>
      </c>
      <c r="S138" s="530">
        <v>578.88941265311428</v>
      </c>
      <c r="T138" s="530">
        <v>18096.581835502671</v>
      </c>
      <c r="U138" s="530" t="s">
        <v>61</v>
      </c>
    </row>
    <row r="139" spans="1:21" ht="13.8" x14ac:dyDescent="0.3">
      <c r="A139" s="530" t="str">
        <f t="shared" si="4"/>
        <v>North Wales.2013.Visitor Days.Total</v>
      </c>
      <c r="B139" s="530" t="s">
        <v>220</v>
      </c>
      <c r="C139" s="530" t="str">
        <f t="shared" si="5"/>
        <v>2013.Visitor Days.Total</v>
      </c>
      <c r="D139" s="530" t="s">
        <v>230</v>
      </c>
      <c r="E139" s="530" t="s">
        <v>171</v>
      </c>
      <c r="F139" s="530" t="s">
        <v>54</v>
      </c>
      <c r="G139" s="530" t="s">
        <v>54</v>
      </c>
      <c r="H139" s="530">
        <v>1571.2697501812604</v>
      </c>
      <c r="I139" s="530">
        <v>1874.6523906439609</v>
      </c>
      <c r="J139" s="530">
        <v>4023.6612264865835</v>
      </c>
      <c r="K139" s="530">
        <v>5565.5711608552238</v>
      </c>
      <c r="L139" s="530">
        <v>6561.3064301781933</v>
      </c>
      <c r="M139" s="530">
        <v>6967.2020376831078</v>
      </c>
      <c r="N139" s="530">
        <v>8859.0411162775927</v>
      </c>
      <c r="O139" s="530">
        <v>10263.683031967399</v>
      </c>
      <c r="P139" s="530">
        <v>6232.5045399686478</v>
      </c>
      <c r="Q139" s="530">
        <v>4950.9979621286893</v>
      </c>
      <c r="R139" s="530">
        <v>2401.8030673497483</v>
      </c>
      <c r="S139" s="530">
        <v>1939.8388631766429</v>
      </c>
      <c r="T139" s="530">
        <v>61211.531576897047</v>
      </c>
      <c r="U139" s="530" t="s">
        <v>61</v>
      </c>
    </row>
    <row r="140" spans="1:21" ht="13.8" x14ac:dyDescent="0.3">
      <c r="A140" s="530" t="str">
        <f t="shared" si="4"/>
        <v>North Wales.2013.Visitor Numbers.Serviced Accommodation</v>
      </c>
      <c r="B140" s="530" t="s">
        <v>220</v>
      </c>
      <c r="C140" s="530" t="str">
        <f t="shared" si="5"/>
        <v>2013.Visitor Numbers.Serviced Accommodation</v>
      </c>
      <c r="D140" s="530" t="s">
        <v>230</v>
      </c>
      <c r="E140" s="530" t="s">
        <v>172</v>
      </c>
      <c r="F140" s="530" t="s">
        <v>43</v>
      </c>
      <c r="G140" s="530" t="s">
        <v>43</v>
      </c>
      <c r="H140" s="530">
        <v>115.13631756632932</v>
      </c>
      <c r="I140" s="530">
        <v>211.63281087435735</v>
      </c>
      <c r="J140" s="530">
        <v>145.41378041354488</v>
      </c>
      <c r="K140" s="530">
        <v>204.04084576010001</v>
      </c>
      <c r="L140" s="530">
        <v>256.84191118328022</v>
      </c>
      <c r="M140" s="530">
        <v>254.44855997617779</v>
      </c>
      <c r="N140" s="530">
        <v>290.14533747343012</v>
      </c>
      <c r="O140" s="530">
        <v>330.51650848167475</v>
      </c>
      <c r="P140" s="530">
        <v>220.5920778662983</v>
      </c>
      <c r="Q140" s="530">
        <v>218.23063981028858</v>
      </c>
      <c r="R140" s="530">
        <v>187.09609086776254</v>
      </c>
      <c r="S140" s="530">
        <v>152.77389024631819</v>
      </c>
      <c r="T140" s="530">
        <v>2586.8687705195621</v>
      </c>
      <c r="U140" s="530" t="s">
        <v>61</v>
      </c>
    </row>
    <row r="141" spans="1:21" ht="13.8" x14ac:dyDescent="0.3">
      <c r="A141" s="530" t="str">
        <f t="shared" si="4"/>
        <v>North Wales.2013.Visitor Numbers.Non-Serviced Accommodation</v>
      </c>
      <c r="B141" s="530" t="s">
        <v>220</v>
      </c>
      <c r="C141" s="530" t="str">
        <f t="shared" si="5"/>
        <v>2013.Visitor Numbers.Non-Serviced Accommodation</v>
      </c>
      <c r="D141" s="530" t="s">
        <v>230</v>
      </c>
      <c r="E141" s="530" t="s">
        <v>172</v>
      </c>
      <c r="F141" s="530" t="s">
        <v>48</v>
      </c>
      <c r="G141" s="530" t="s">
        <v>48</v>
      </c>
      <c r="H141" s="530">
        <v>161.12403259657353</v>
      </c>
      <c r="I141" s="530">
        <v>174.9983627995324</v>
      </c>
      <c r="J141" s="530">
        <v>544.4052887495011</v>
      </c>
      <c r="K141" s="530">
        <v>488.63736774968811</v>
      </c>
      <c r="L141" s="530">
        <v>561.1232496011686</v>
      </c>
      <c r="M141" s="530">
        <v>632.82720742171659</v>
      </c>
      <c r="N141" s="530">
        <v>775.03795230735432</v>
      </c>
      <c r="O141" s="530">
        <v>811.35455009220357</v>
      </c>
      <c r="P141" s="530">
        <v>580.06988743758575</v>
      </c>
      <c r="Q141" s="530">
        <v>431.38799009363356</v>
      </c>
      <c r="R141" s="530">
        <v>278.55647421647689</v>
      </c>
      <c r="S141" s="530">
        <v>141.11458746566367</v>
      </c>
      <c r="T141" s="530">
        <v>5580.6369505310977</v>
      </c>
      <c r="U141" s="530" t="s">
        <v>61</v>
      </c>
    </row>
    <row r="142" spans="1:21" ht="13.8" x14ac:dyDescent="0.3">
      <c r="A142" s="530" t="str">
        <f t="shared" si="4"/>
        <v>North Wales.2013.Visitor Numbers.SFR</v>
      </c>
      <c r="B142" s="530" t="s">
        <v>220</v>
      </c>
      <c r="C142" s="530" t="str">
        <f t="shared" si="5"/>
        <v>2013.Visitor Numbers.SFR</v>
      </c>
      <c r="D142" s="530" t="s">
        <v>230</v>
      </c>
      <c r="E142" s="530" t="s">
        <v>172</v>
      </c>
      <c r="F142" s="530" t="s">
        <v>18</v>
      </c>
      <c r="G142" s="530" t="s">
        <v>18</v>
      </c>
      <c r="H142" s="530">
        <v>141.22513636363635</v>
      </c>
      <c r="I142" s="530">
        <v>56.490054545454534</v>
      </c>
      <c r="J142" s="530">
        <v>62.76672727272728</v>
      </c>
      <c r="K142" s="530">
        <v>119.25678181818181</v>
      </c>
      <c r="L142" s="530">
        <v>94.150090909090906</v>
      </c>
      <c r="M142" s="530">
        <v>75.979123363636361</v>
      </c>
      <c r="N142" s="530">
        <v>103.56509999999999</v>
      </c>
      <c r="O142" s="530">
        <v>105.41671845454546</v>
      </c>
      <c r="P142" s="530">
        <v>65.057712818181827</v>
      </c>
      <c r="Q142" s="530">
        <v>65.905063636363636</v>
      </c>
      <c r="R142" s="530">
        <v>54.136302272727264</v>
      </c>
      <c r="S142" s="530">
        <v>122.39511818181819</v>
      </c>
      <c r="T142" s="530">
        <v>1066.3439296363636</v>
      </c>
      <c r="U142" s="530" t="s">
        <v>61</v>
      </c>
    </row>
    <row r="143" spans="1:21" ht="13.8" x14ac:dyDescent="0.3">
      <c r="A143" s="530" t="str">
        <f t="shared" si="4"/>
        <v>North Wales.2013.Visitor Numbers.Day Visitor</v>
      </c>
      <c r="B143" s="530" t="s">
        <v>220</v>
      </c>
      <c r="C143" s="530" t="str">
        <f t="shared" si="5"/>
        <v>2013.Visitor Numbers.Day Visitor</v>
      </c>
      <c r="D143" s="530" t="s">
        <v>230</v>
      </c>
      <c r="E143" s="530" t="s">
        <v>172</v>
      </c>
      <c r="F143" s="530" t="s">
        <v>71</v>
      </c>
      <c r="G143" s="530" t="s">
        <v>71</v>
      </c>
      <c r="H143" s="530">
        <v>492.20600750495475</v>
      </c>
      <c r="I143" s="530">
        <v>740.31452404106903</v>
      </c>
      <c r="J143" s="530">
        <v>975.92975574125899</v>
      </c>
      <c r="K143" s="530">
        <v>1745.5965024152131</v>
      </c>
      <c r="L143" s="530">
        <v>2000.407301659581</v>
      </c>
      <c r="M143" s="530">
        <v>1926.0332803283211</v>
      </c>
      <c r="N143" s="530">
        <v>2596.4192181181688</v>
      </c>
      <c r="O143" s="530">
        <v>3251.0485945166538</v>
      </c>
      <c r="P143" s="530">
        <v>1658.3537788712335</v>
      </c>
      <c r="Q143" s="530">
        <v>1413.2148953695983</v>
      </c>
      <c r="R143" s="530">
        <v>718.16856428350331</v>
      </c>
      <c r="S143" s="530">
        <v>578.88941265311428</v>
      </c>
      <c r="T143" s="530">
        <v>18096.581835502671</v>
      </c>
      <c r="U143" s="530" t="s">
        <v>61</v>
      </c>
    </row>
    <row r="144" spans="1:21" ht="13.8" x14ac:dyDescent="0.3">
      <c r="A144" s="530" t="str">
        <f t="shared" si="4"/>
        <v>North Wales.2013.Visitor Numbers.Total</v>
      </c>
      <c r="B144" s="530" t="s">
        <v>220</v>
      </c>
      <c r="C144" s="530" t="str">
        <f t="shared" si="5"/>
        <v>2013.Visitor Numbers.Total</v>
      </c>
      <c r="D144" s="530" t="s">
        <v>230</v>
      </c>
      <c r="E144" s="530" t="s">
        <v>172</v>
      </c>
      <c r="F144" s="530" t="s">
        <v>54</v>
      </c>
      <c r="G144" s="530" t="s">
        <v>54</v>
      </c>
      <c r="H144" s="530">
        <v>909.69149403149402</v>
      </c>
      <c r="I144" s="530">
        <v>1183.4357522604132</v>
      </c>
      <c r="J144" s="530">
        <v>1728.5155521770323</v>
      </c>
      <c r="K144" s="530">
        <v>2557.5314977431831</v>
      </c>
      <c r="L144" s="530">
        <v>2912.5225533531207</v>
      </c>
      <c r="M144" s="530">
        <v>2889.2881710898519</v>
      </c>
      <c r="N144" s="530">
        <v>3765.1676078989531</v>
      </c>
      <c r="O144" s="530">
        <v>4498.3363715450778</v>
      </c>
      <c r="P144" s="530">
        <v>2524.0734569932993</v>
      </c>
      <c r="Q144" s="530">
        <v>2128.7385889098841</v>
      </c>
      <c r="R144" s="530">
        <v>1237.9574316404701</v>
      </c>
      <c r="S144" s="530">
        <v>995.17300854691428</v>
      </c>
      <c r="T144" s="530">
        <v>27330.431486189696</v>
      </c>
      <c r="U144" s="530" t="s">
        <v>61</v>
      </c>
    </row>
    <row r="145" spans="1:21" ht="13.8" x14ac:dyDescent="0.3">
      <c r="A145" s="530" t="str">
        <f t="shared" si="4"/>
        <v>North Wales.2013.Vehicle Days.Serviced Accommodation</v>
      </c>
      <c r="B145" s="530" t="s">
        <v>220</v>
      </c>
      <c r="C145" s="530" t="str">
        <f t="shared" si="5"/>
        <v>2013.Vehicle Days.Serviced Accommodation</v>
      </c>
      <c r="D145" s="530" t="s">
        <v>230</v>
      </c>
      <c r="E145" s="530" t="s">
        <v>21</v>
      </c>
      <c r="F145" s="530" t="s">
        <v>43</v>
      </c>
      <c r="G145" s="530" t="s">
        <v>43</v>
      </c>
      <c r="H145" s="530">
        <v>46.444199565802329</v>
      </c>
      <c r="I145" s="530">
        <v>109.04411850236525</v>
      </c>
      <c r="J145" s="530">
        <v>108.02757824829884</v>
      </c>
      <c r="K145" s="530">
        <v>97.20931998669073</v>
      </c>
      <c r="L145" s="530">
        <v>135.01792657044228</v>
      </c>
      <c r="M145" s="530">
        <v>126.40810500998916</v>
      </c>
      <c r="N145" s="530">
        <v>131.23525159729857</v>
      </c>
      <c r="O145" s="530">
        <v>149.90247234564328</v>
      </c>
      <c r="P145" s="530">
        <v>112.90400286797581</v>
      </c>
      <c r="Q145" s="530">
        <v>114.37421546346138</v>
      </c>
      <c r="R145" s="530">
        <v>98.411299624880428</v>
      </c>
      <c r="S145" s="530">
        <v>66.27487868511254</v>
      </c>
      <c r="T145" s="530">
        <v>1295.2533684679604</v>
      </c>
      <c r="U145" s="530" t="s">
        <v>61</v>
      </c>
    </row>
    <row r="146" spans="1:21" ht="13.8" x14ac:dyDescent="0.3">
      <c r="A146" s="530" t="str">
        <f t="shared" si="4"/>
        <v>North Wales.2013.Vehicle Days.Non-Serviced Accommodation</v>
      </c>
      <c r="B146" s="530" t="s">
        <v>220</v>
      </c>
      <c r="C146" s="530" t="str">
        <f t="shared" si="5"/>
        <v>2013.Vehicle Days.Non-Serviced Accommodation</v>
      </c>
      <c r="D146" s="530" t="s">
        <v>230</v>
      </c>
      <c r="E146" s="530" t="s">
        <v>21</v>
      </c>
      <c r="F146" s="530" t="s">
        <v>48</v>
      </c>
      <c r="G146" s="530" t="s">
        <v>48</v>
      </c>
      <c r="H146" s="530">
        <v>138.99147546200444</v>
      </c>
      <c r="I146" s="530">
        <v>202.3041206367885</v>
      </c>
      <c r="J146" s="530">
        <v>691.26626543623922</v>
      </c>
      <c r="K146" s="530">
        <v>802.93753456650268</v>
      </c>
      <c r="L146" s="530">
        <v>1019.3018980004931</v>
      </c>
      <c r="M146" s="530">
        <v>1165.7177086349498</v>
      </c>
      <c r="N146" s="530">
        <v>1420.2682911827649</v>
      </c>
      <c r="O146" s="530">
        <v>1578.4378038425593</v>
      </c>
      <c r="P146" s="530">
        <v>1046.9261536941826</v>
      </c>
      <c r="Q146" s="530">
        <v>776.38958560824904</v>
      </c>
      <c r="R146" s="530">
        <v>322.43814620176539</v>
      </c>
      <c r="S146" s="530">
        <v>192.60390364976459</v>
      </c>
      <c r="T146" s="530">
        <v>9357.5828869162633</v>
      </c>
      <c r="U146" s="530" t="s">
        <v>61</v>
      </c>
    </row>
    <row r="147" spans="1:21" ht="13.8" x14ac:dyDescent="0.3">
      <c r="A147" s="530" t="str">
        <f t="shared" si="4"/>
        <v>North Wales.2013.Vehicle Days.SFR</v>
      </c>
      <c r="B147" s="530" t="s">
        <v>220</v>
      </c>
      <c r="C147" s="530" t="str">
        <f t="shared" si="5"/>
        <v>2013.Vehicle Days.SFR</v>
      </c>
      <c r="D147" s="530" t="s">
        <v>230</v>
      </c>
      <c r="E147" s="530" t="s">
        <v>21</v>
      </c>
      <c r="F147" s="530" t="s">
        <v>18</v>
      </c>
      <c r="G147" s="530" t="s">
        <v>18</v>
      </c>
      <c r="H147" s="530">
        <v>108.66922499999998</v>
      </c>
      <c r="I147" s="530">
        <v>36.512859599999992</v>
      </c>
      <c r="J147" s="530">
        <v>41.535792666666666</v>
      </c>
      <c r="K147" s="530">
        <v>99.106333199999995</v>
      </c>
      <c r="L147" s="530">
        <v>63.752611999999999</v>
      </c>
      <c r="M147" s="530">
        <v>49.109796161999995</v>
      </c>
      <c r="N147" s="530">
        <v>79.690764999999999</v>
      </c>
      <c r="O147" s="530">
        <v>84.360160854666674</v>
      </c>
      <c r="P147" s="530">
        <v>43.452331416199996</v>
      </c>
      <c r="Q147" s="530">
        <v>43.409733080000002</v>
      </c>
      <c r="R147" s="530">
        <v>33.825107434999993</v>
      </c>
      <c r="S147" s="530">
        <v>97.947194800000005</v>
      </c>
      <c r="T147" s="530">
        <v>781.37191121453338</v>
      </c>
      <c r="U147" s="530" t="s">
        <v>61</v>
      </c>
    </row>
    <row r="148" spans="1:21" ht="13.8" x14ac:dyDescent="0.3">
      <c r="A148" s="530" t="str">
        <f t="shared" si="4"/>
        <v>North Wales.2013.Vehicle Days.Day Visitor</v>
      </c>
      <c r="B148" s="530" t="s">
        <v>220</v>
      </c>
      <c r="C148" s="530" t="str">
        <f t="shared" si="5"/>
        <v>2013.Vehicle Days.Day Visitor</v>
      </c>
      <c r="D148" s="530" t="s">
        <v>230</v>
      </c>
      <c r="E148" s="530" t="s">
        <v>21</v>
      </c>
      <c r="F148" s="530" t="s">
        <v>71</v>
      </c>
      <c r="G148" s="530" t="s">
        <v>71</v>
      </c>
      <c r="H148" s="530">
        <v>108.28532165109006</v>
      </c>
      <c r="I148" s="530">
        <v>186.13622318746877</v>
      </c>
      <c r="J148" s="530">
        <v>245.37662430065942</v>
      </c>
      <c r="K148" s="530">
        <v>384.03123053134686</v>
      </c>
      <c r="L148" s="530">
        <v>440.0896063651079</v>
      </c>
      <c r="M148" s="530">
        <v>484.25979619683505</v>
      </c>
      <c r="N148" s="530">
        <v>571.21222798599717</v>
      </c>
      <c r="O148" s="530">
        <v>715.23069079366394</v>
      </c>
      <c r="P148" s="530">
        <v>364.83783135167141</v>
      </c>
      <c r="Q148" s="530">
        <v>355.32260226435614</v>
      </c>
      <c r="R148" s="530">
        <v>180.56809616270942</v>
      </c>
      <c r="S148" s="530">
        <v>127.35567078368513</v>
      </c>
      <c r="T148" s="530">
        <v>4162.7059215745912</v>
      </c>
      <c r="U148" s="530" t="s">
        <v>61</v>
      </c>
    </row>
    <row r="149" spans="1:21" ht="13.8" x14ac:dyDescent="0.3">
      <c r="A149" s="530" t="str">
        <f t="shared" si="4"/>
        <v>North Wales.2013.Vehicle Days.Total</v>
      </c>
      <c r="B149" s="530" t="s">
        <v>220</v>
      </c>
      <c r="C149" s="530" t="str">
        <f t="shared" si="5"/>
        <v>2013.Vehicle Days.Total</v>
      </c>
      <c r="D149" s="530" t="s">
        <v>230</v>
      </c>
      <c r="E149" s="530" t="s">
        <v>21</v>
      </c>
      <c r="F149" s="530" t="s">
        <v>54</v>
      </c>
      <c r="G149" s="530" t="s">
        <v>54</v>
      </c>
      <c r="H149" s="530">
        <v>402.39022167889681</v>
      </c>
      <c r="I149" s="530">
        <v>533.99732192662248</v>
      </c>
      <c r="J149" s="530">
        <v>1086.2062606518643</v>
      </c>
      <c r="K149" s="530">
        <v>1383.2844182845404</v>
      </c>
      <c r="L149" s="530">
        <v>1658.1620429360432</v>
      </c>
      <c r="M149" s="530">
        <v>1825.4954060037744</v>
      </c>
      <c r="N149" s="530">
        <v>2202.4065357660602</v>
      </c>
      <c r="O149" s="530">
        <v>2527.9311278365335</v>
      </c>
      <c r="P149" s="530">
        <v>1568.1203193300298</v>
      </c>
      <c r="Q149" s="530">
        <v>1289.4961364160667</v>
      </c>
      <c r="R149" s="530">
        <v>635.24264942435536</v>
      </c>
      <c r="S149" s="530">
        <v>484.18164791856225</v>
      </c>
      <c r="T149" s="530">
        <v>15596.914088173347</v>
      </c>
      <c r="U149" s="530" t="s">
        <v>61</v>
      </c>
    </row>
    <row r="150" spans="1:21" ht="13.8" x14ac:dyDescent="0.3">
      <c r="A150" s="530" t="str">
        <f t="shared" si="4"/>
        <v>North Wales.2013.Vehicle Numbers.Serviced Accommodation</v>
      </c>
      <c r="B150" s="530" t="s">
        <v>220</v>
      </c>
      <c r="C150" s="530" t="str">
        <f t="shared" si="5"/>
        <v>2013.Vehicle Numbers.Serviced Accommodation</v>
      </c>
      <c r="D150" s="530" t="s">
        <v>230</v>
      </c>
      <c r="E150" s="530" t="s">
        <v>22</v>
      </c>
      <c r="F150" s="530" t="s">
        <v>43</v>
      </c>
      <c r="G150" s="530" t="s">
        <v>43</v>
      </c>
      <c r="H150" s="530">
        <v>29.939075051733436</v>
      </c>
      <c r="I150" s="530">
        <v>73.12471559651577</v>
      </c>
      <c r="J150" s="530">
        <v>52.419635824577512</v>
      </c>
      <c r="K150" s="530">
        <v>53.49986028178585</v>
      </c>
      <c r="L150" s="530">
        <v>71.854427070851088</v>
      </c>
      <c r="M150" s="530">
        <v>71.136966247403535</v>
      </c>
      <c r="N150" s="530">
        <v>76.017091644459242</v>
      </c>
      <c r="O150" s="530">
        <v>86.661616677975218</v>
      </c>
      <c r="P150" s="530">
        <v>57.871861374403011</v>
      </c>
      <c r="Q150" s="530">
        <v>66.320257455313936</v>
      </c>
      <c r="R150" s="530">
        <v>56.74909817123855</v>
      </c>
      <c r="S150" s="530">
        <v>40.153631632086245</v>
      </c>
      <c r="T150" s="530">
        <v>735.7482370283434</v>
      </c>
      <c r="U150" s="530" t="s">
        <v>61</v>
      </c>
    </row>
    <row r="151" spans="1:21" ht="13.8" x14ac:dyDescent="0.3">
      <c r="A151" s="530" t="str">
        <f t="shared" si="4"/>
        <v>North Wales.2013.Vehicle Numbers.Non-Serviced Accommodation</v>
      </c>
      <c r="B151" s="530" t="s">
        <v>220</v>
      </c>
      <c r="C151" s="530" t="str">
        <f t="shared" si="5"/>
        <v>2013.Vehicle Numbers.Non-Serviced Accommodation</v>
      </c>
      <c r="D151" s="530" t="s">
        <v>230</v>
      </c>
      <c r="E151" s="530" t="s">
        <v>22</v>
      </c>
      <c r="F151" s="530" t="s">
        <v>48</v>
      </c>
      <c r="G151" s="530" t="s">
        <v>48</v>
      </c>
      <c r="H151" s="530">
        <v>40.879845724118958</v>
      </c>
      <c r="I151" s="530">
        <v>50.576030159197124</v>
      </c>
      <c r="J151" s="530">
        <v>144.01380529921653</v>
      </c>
      <c r="K151" s="530">
        <v>125.45898977601605</v>
      </c>
      <c r="L151" s="530">
        <v>147.72491275369467</v>
      </c>
      <c r="M151" s="530">
        <v>166.53110123356427</v>
      </c>
      <c r="N151" s="530">
        <v>200.03778749053026</v>
      </c>
      <c r="O151" s="530">
        <v>207.68918471612625</v>
      </c>
      <c r="P151" s="530">
        <v>151.72842807162064</v>
      </c>
      <c r="Q151" s="530">
        <v>110.91279794403557</v>
      </c>
      <c r="R151" s="530">
        <v>71.652921378170092</v>
      </c>
      <c r="S151" s="530">
        <v>34.393554223172252</v>
      </c>
      <c r="T151" s="530">
        <v>1451.5993587694627</v>
      </c>
      <c r="U151" s="530" t="s">
        <v>61</v>
      </c>
    </row>
    <row r="152" spans="1:21" ht="13.8" x14ac:dyDescent="0.3">
      <c r="A152" s="530" t="str">
        <f t="shared" si="4"/>
        <v>North Wales.2013.Vehicle Numbers.SFR</v>
      </c>
      <c r="B152" s="530" t="s">
        <v>220</v>
      </c>
      <c r="C152" s="530" t="str">
        <f t="shared" si="5"/>
        <v>2013.Vehicle Numbers.SFR</v>
      </c>
      <c r="D152" s="530" t="s">
        <v>230</v>
      </c>
      <c r="E152" s="530" t="s">
        <v>22</v>
      </c>
      <c r="F152" s="530" t="s">
        <v>18</v>
      </c>
      <c r="G152" s="530" t="s">
        <v>18</v>
      </c>
      <c r="H152" s="530">
        <v>43.46768999999999</v>
      </c>
      <c r="I152" s="530">
        <v>17.387075999999997</v>
      </c>
      <c r="J152" s="530">
        <v>19.318973333333336</v>
      </c>
      <c r="K152" s="530">
        <v>36.706049333333326</v>
      </c>
      <c r="L152" s="530">
        <v>28.978459999999998</v>
      </c>
      <c r="M152" s="530">
        <v>23.38561722</v>
      </c>
      <c r="N152" s="530">
        <v>31.876306</v>
      </c>
      <c r="O152" s="530">
        <v>32.446215713333331</v>
      </c>
      <c r="P152" s="530">
        <v>20.024115860000002</v>
      </c>
      <c r="Q152" s="530">
        <v>20.284921999999998</v>
      </c>
      <c r="R152" s="530">
        <v>16.6626145</v>
      </c>
      <c r="S152" s="530">
        <v>37.671997999999995</v>
      </c>
      <c r="T152" s="530">
        <v>328.21003796000002</v>
      </c>
      <c r="U152" s="530" t="s">
        <v>61</v>
      </c>
    </row>
    <row r="153" spans="1:21" ht="13.8" x14ac:dyDescent="0.3">
      <c r="A153" s="530" t="str">
        <f t="shared" si="4"/>
        <v>North Wales.2013.Vehicle Numbers.Day Visitor</v>
      </c>
      <c r="B153" s="530" t="s">
        <v>220</v>
      </c>
      <c r="C153" s="530" t="str">
        <f t="shared" si="5"/>
        <v>2013.Vehicle Numbers.Day Visitor</v>
      </c>
      <c r="D153" s="530" t="s">
        <v>230</v>
      </c>
      <c r="E153" s="530" t="s">
        <v>22</v>
      </c>
      <c r="F153" s="530" t="s">
        <v>71</v>
      </c>
      <c r="G153" s="530" t="s">
        <v>71</v>
      </c>
      <c r="H153" s="530">
        <v>108.28532165109006</v>
      </c>
      <c r="I153" s="530">
        <v>186.13622318746877</v>
      </c>
      <c r="J153" s="530">
        <v>245.37662430065942</v>
      </c>
      <c r="K153" s="530">
        <v>384.03123053134686</v>
      </c>
      <c r="L153" s="530">
        <v>440.0896063651079</v>
      </c>
      <c r="M153" s="530">
        <v>484.25979619683505</v>
      </c>
      <c r="N153" s="530">
        <v>571.21222798599717</v>
      </c>
      <c r="O153" s="530">
        <v>715.23069079366394</v>
      </c>
      <c r="P153" s="530">
        <v>364.83783135167141</v>
      </c>
      <c r="Q153" s="530">
        <v>355.32260226435614</v>
      </c>
      <c r="R153" s="530">
        <v>180.56809616270942</v>
      </c>
      <c r="S153" s="530">
        <v>127.35567078368513</v>
      </c>
      <c r="T153" s="530">
        <v>4162.7059215745912</v>
      </c>
      <c r="U153" s="530" t="s">
        <v>61</v>
      </c>
    </row>
    <row r="154" spans="1:21" ht="13.8" x14ac:dyDescent="0.3">
      <c r="A154" s="530" t="str">
        <f t="shared" si="4"/>
        <v>North Wales.2013.Vehicle Numbers.Total</v>
      </c>
      <c r="B154" s="530" t="s">
        <v>220</v>
      </c>
      <c r="C154" s="530" t="str">
        <f t="shared" si="5"/>
        <v>2013.Vehicle Numbers.Total</v>
      </c>
      <c r="D154" s="530" t="s">
        <v>230</v>
      </c>
      <c r="E154" s="530" t="s">
        <v>22</v>
      </c>
      <c r="F154" s="530" t="s">
        <v>54</v>
      </c>
      <c r="G154" s="530" t="s">
        <v>54</v>
      </c>
      <c r="H154" s="530">
        <v>222.57193242694242</v>
      </c>
      <c r="I154" s="530">
        <v>327.2240449431817</v>
      </c>
      <c r="J154" s="530">
        <v>461.12903875778676</v>
      </c>
      <c r="K154" s="530">
        <v>599.69612992248199</v>
      </c>
      <c r="L154" s="530">
        <v>688.64740618965357</v>
      </c>
      <c r="M154" s="530">
        <v>745.31348089780295</v>
      </c>
      <c r="N154" s="530">
        <v>879.14341312098691</v>
      </c>
      <c r="O154" s="530">
        <v>1042.0277079010987</v>
      </c>
      <c r="P154" s="530">
        <v>594.46223665769514</v>
      </c>
      <c r="Q154" s="530">
        <v>552.84057966370563</v>
      </c>
      <c r="R154" s="530">
        <v>325.63273021211802</v>
      </c>
      <c r="S154" s="530">
        <v>239.57485463894363</v>
      </c>
      <c r="T154" s="530">
        <v>6678.263555332398</v>
      </c>
      <c r="U154" s="530" t="s">
        <v>61</v>
      </c>
    </row>
    <row r="155" spans="1:21" ht="13.8" x14ac:dyDescent="0.3">
      <c r="A155" s="530" t="str">
        <f t="shared" si="4"/>
        <v>North Wales.2013.Accommodation.Serviced Accommodation</v>
      </c>
      <c r="B155" s="530" t="s">
        <v>220</v>
      </c>
      <c r="C155" s="530" t="str">
        <f t="shared" si="5"/>
        <v>2013.Accommodation.Serviced Accommodation</v>
      </c>
      <c r="D155" s="530" t="s">
        <v>230</v>
      </c>
      <c r="E155" s="530" t="s">
        <v>23</v>
      </c>
      <c r="F155" s="530" t="s">
        <v>43</v>
      </c>
      <c r="G155" s="530" t="s">
        <v>43</v>
      </c>
      <c r="H155" s="530">
        <v>23993.798816568047</v>
      </c>
      <c r="I155" s="530">
        <v>25122.213017751477</v>
      </c>
      <c r="J155" s="530">
        <v>26707.952662721895</v>
      </c>
      <c r="K155" s="530">
        <v>27377.440828402367</v>
      </c>
      <c r="L155" s="530">
        <v>27382.1449704142</v>
      </c>
      <c r="M155" s="530">
        <v>27399.1449704142</v>
      </c>
      <c r="N155" s="530">
        <v>27419.440828402367</v>
      </c>
      <c r="O155" s="530">
        <v>27419.440828402367</v>
      </c>
      <c r="P155" s="530">
        <v>27389.1449704142</v>
      </c>
      <c r="Q155" s="530">
        <v>27135.1449704142</v>
      </c>
      <c r="R155" s="530">
        <v>26218.671597633136</v>
      </c>
      <c r="S155" s="530">
        <v>25048.346153846156</v>
      </c>
      <c r="T155" s="530">
        <v>27419.440828402367</v>
      </c>
      <c r="U155" s="530" t="s">
        <v>58</v>
      </c>
    </row>
    <row r="156" spans="1:21" ht="13.8" x14ac:dyDescent="0.3">
      <c r="A156" s="530" t="str">
        <f t="shared" si="4"/>
        <v>North Wales.2013.Accommodation.Non-Serviced Accommodation</v>
      </c>
      <c r="B156" s="530" t="s">
        <v>220</v>
      </c>
      <c r="C156" s="530" t="str">
        <f t="shared" si="5"/>
        <v>2013.Accommodation.Non-Serviced Accommodation</v>
      </c>
      <c r="D156" s="530" t="s">
        <v>230</v>
      </c>
      <c r="E156" s="530" t="s">
        <v>23</v>
      </c>
      <c r="F156" s="530" t="s">
        <v>48</v>
      </c>
      <c r="G156" s="530" t="s">
        <v>48</v>
      </c>
      <c r="H156" s="530">
        <v>73721.459942625836</v>
      </c>
      <c r="I156" s="530">
        <v>78807.828075777652</v>
      </c>
      <c r="J156" s="530">
        <v>196329.70110717387</v>
      </c>
      <c r="K156" s="530">
        <v>224272.09843515488</v>
      </c>
      <c r="L156" s="530">
        <v>225116.35623029416</v>
      </c>
      <c r="M156" s="530">
        <v>226013.21227951985</v>
      </c>
      <c r="N156" s="530">
        <v>226457.30802487864</v>
      </c>
      <c r="O156" s="530">
        <v>226457.30802487864</v>
      </c>
      <c r="P156" s="530">
        <v>224388.28857878127</v>
      </c>
      <c r="Q156" s="530">
        <v>218764.60367967718</v>
      </c>
      <c r="R156" s="530">
        <v>133044.41764936538</v>
      </c>
      <c r="S156" s="530">
        <v>96585.784572069068</v>
      </c>
      <c r="T156" s="530">
        <v>226457.30802487864</v>
      </c>
      <c r="U156" s="530" t="s">
        <v>58</v>
      </c>
    </row>
    <row r="157" spans="1:21" ht="13.8" x14ac:dyDescent="0.3">
      <c r="A157" s="530" t="str">
        <f t="shared" si="4"/>
        <v>North Wales.2013.Accommodation.Total</v>
      </c>
      <c r="B157" s="530" t="s">
        <v>220</v>
      </c>
      <c r="C157" s="530" t="str">
        <f t="shared" si="5"/>
        <v>2013.Accommodation.Total</v>
      </c>
      <c r="D157" s="530" t="s">
        <v>230</v>
      </c>
      <c r="E157" s="530" t="s">
        <v>23</v>
      </c>
      <c r="F157" s="530" t="s">
        <v>54</v>
      </c>
      <c r="G157" s="530" t="s">
        <v>54</v>
      </c>
      <c r="H157" s="530">
        <v>97715.258759193894</v>
      </c>
      <c r="I157" s="530">
        <v>103930.04109352913</v>
      </c>
      <c r="J157" s="530">
        <v>223037.65376989575</v>
      </c>
      <c r="K157" s="530">
        <v>251649.53926355726</v>
      </c>
      <c r="L157" s="530">
        <v>252498.50120070839</v>
      </c>
      <c r="M157" s="530">
        <v>253412.35724993405</v>
      </c>
      <c r="N157" s="530">
        <v>253876.74885328102</v>
      </c>
      <c r="O157" s="530">
        <v>253876.74885328102</v>
      </c>
      <c r="P157" s="530">
        <v>251777.43354919547</v>
      </c>
      <c r="Q157" s="530">
        <v>245899.74865009138</v>
      </c>
      <c r="R157" s="530">
        <v>159263.08924699854</v>
      </c>
      <c r="S157" s="530">
        <v>121634.13072591522</v>
      </c>
      <c r="T157" s="530">
        <v>253876.74885328102</v>
      </c>
      <c r="U157" s="530" t="s">
        <v>58</v>
      </c>
    </row>
    <row r="158" spans="1:21" ht="13.8" x14ac:dyDescent="0.3">
      <c r="A158" s="530" t="str">
        <f t="shared" si="4"/>
        <v>North Wales.2013.Economic Impact.Total</v>
      </c>
      <c r="B158" s="530" t="s">
        <v>220</v>
      </c>
      <c r="C158" s="530" t="str">
        <f t="shared" si="5"/>
        <v>2013.Economic Impact.Total</v>
      </c>
      <c r="D158" s="530" t="s">
        <v>230</v>
      </c>
      <c r="E158" s="530" t="s">
        <v>17</v>
      </c>
      <c r="F158" s="530" t="s">
        <v>54</v>
      </c>
      <c r="G158" s="530" t="s">
        <v>54</v>
      </c>
      <c r="H158" s="530">
        <v>67384.01282160799</v>
      </c>
      <c r="I158" s="530">
        <v>89132.02970352523</v>
      </c>
      <c r="J158" s="530">
        <v>168852.68559369969</v>
      </c>
      <c r="K158" s="530">
        <v>227607.56315353606</v>
      </c>
      <c r="L158" s="530">
        <v>271208.43313911324</v>
      </c>
      <c r="M158" s="530">
        <v>287537.63312122365</v>
      </c>
      <c r="N158" s="530">
        <v>389177.76140884898</v>
      </c>
      <c r="O158" s="530">
        <v>455934.63654336927</v>
      </c>
      <c r="P158" s="530">
        <v>288473.57600875275</v>
      </c>
      <c r="Q158" s="530">
        <v>202433.87491293187</v>
      </c>
      <c r="R158" s="530">
        <v>105006.71980083057</v>
      </c>
      <c r="S158" s="530">
        <v>85759.974526993814</v>
      </c>
      <c r="T158" s="530">
        <v>2638508.9007344334</v>
      </c>
      <c r="U158" s="530" t="s">
        <v>57</v>
      </c>
    </row>
    <row r="159" spans="1:21" ht="13.8" x14ac:dyDescent="0.3">
      <c r="A159" s="530" t="str">
        <f t="shared" si="4"/>
        <v>North Wales.2014.Economic Impact.Indirect Expenditure</v>
      </c>
      <c r="B159" s="530" t="s">
        <v>220</v>
      </c>
      <c r="C159" s="530" t="str">
        <f t="shared" si="5"/>
        <v>2014.Economic Impact.Indirect Expenditure</v>
      </c>
      <c r="D159" s="530" t="s">
        <v>231</v>
      </c>
      <c r="E159" s="530" t="s">
        <v>17</v>
      </c>
      <c r="F159" s="530" t="s">
        <v>45</v>
      </c>
      <c r="G159" s="530" t="s">
        <v>45</v>
      </c>
      <c r="H159" s="530">
        <v>17521.006825096749</v>
      </c>
      <c r="I159" s="530">
        <v>23899.497712029613</v>
      </c>
      <c r="J159" s="530">
        <v>47458.900547262892</v>
      </c>
      <c r="K159" s="530">
        <v>63836.030848884802</v>
      </c>
      <c r="L159" s="530">
        <v>72734.766986823903</v>
      </c>
      <c r="M159" s="530">
        <v>71813.077671922219</v>
      </c>
      <c r="N159" s="530">
        <v>101690.43238980952</v>
      </c>
      <c r="O159" s="530">
        <v>120061.72744684336</v>
      </c>
      <c r="P159" s="530">
        <v>76630.919477544492</v>
      </c>
      <c r="Q159" s="530">
        <v>51700.411294000703</v>
      </c>
      <c r="R159" s="530">
        <v>25975.774386846428</v>
      </c>
      <c r="S159" s="530">
        <v>23056.15210111572</v>
      </c>
      <c r="T159" s="530">
        <v>696378.69768818025</v>
      </c>
      <c r="U159" s="530" t="s">
        <v>57</v>
      </c>
    </row>
    <row r="160" spans="1:21" ht="13.8" x14ac:dyDescent="0.3">
      <c r="A160" s="530" t="str">
        <f t="shared" si="4"/>
        <v>North Wales.2014.Economic Impact.Direct Revenue</v>
      </c>
      <c r="B160" s="530" t="s">
        <v>220</v>
      </c>
      <c r="C160" s="530" t="str">
        <f t="shared" si="5"/>
        <v>2014.Economic Impact.Direct Revenue</v>
      </c>
      <c r="D160" s="530" t="s">
        <v>231</v>
      </c>
      <c r="E160" s="530" t="s">
        <v>17</v>
      </c>
      <c r="F160" s="530" t="s">
        <v>46</v>
      </c>
      <c r="G160" s="530" t="s">
        <v>46</v>
      </c>
      <c r="H160" s="530">
        <v>44444.839841279056</v>
      </c>
      <c r="I160" s="530">
        <v>59583.111475719001</v>
      </c>
      <c r="J160" s="530">
        <v>117480.57808552413</v>
      </c>
      <c r="K160" s="530">
        <v>156906.24692191833</v>
      </c>
      <c r="L160" s="530">
        <v>179621.24053948116</v>
      </c>
      <c r="M160" s="530">
        <v>176925.53274021318</v>
      </c>
      <c r="N160" s="530">
        <v>250414.61359194704</v>
      </c>
      <c r="O160" s="530">
        <v>295394.9539571614</v>
      </c>
      <c r="P160" s="530">
        <v>189381.92003856608</v>
      </c>
      <c r="Q160" s="530">
        <v>127352.60901817755</v>
      </c>
      <c r="R160" s="530">
        <v>65369.442166245521</v>
      </c>
      <c r="S160" s="530">
        <v>56362.53337231429</v>
      </c>
      <c r="T160" s="530">
        <v>1719237.6217485468</v>
      </c>
      <c r="U160" s="530" t="s">
        <v>57</v>
      </c>
    </row>
    <row r="161" spans="1:21" ht="13.8" x14ac:dyDescent="0.3">
      <c r="A161" s="530" t="str">
        <f t="shared" si="4"/>
        <v>North Wales.2014.Economic Impact.VAT</v>
      </c>
      <c r="B161" s="530" t="s">
        <v>220</v>
      </c>
      <c r="C161" s="530" t="str">
        <f t="shared" si="5"/>
        <v>2014.Economic Impact.VAT</v>
      </c>
      <c r="D161" s="530" t="s">
        <v>231</v>
      </c>
      <c r="E161" s="530" t="s">
        <v>17</v>
      </c>
      <c r="F161" s="530" t="s">
        <v>47</v>
      </c>
      <c r="G161" s="530" t="s">
        <v>47</v>
      </c>
      <c r="H161" s="530">
        <v>8888.9679682558108</v>
      </c>
      <c r="I161" s="530">
        <v>11916.622295143799</v>
      </c>
      <c r="J161" s="530">
        <v>23496.115617104824</v>
      </c>
      <c r="K161" s="530">
        <v>31381.249384383671</v>
      </c>
      <c r="L161" s="530">
        <v>35924.248107896237</v>
      </c>
      <c r="M161" s="530">
        <v>35385.106548042648</v>
      </c>
      <c r="N161" s="530">
        <v>50082.922718389396</v>
      </c>
      <c r="O161" s="530">
        <v>59078.99079143229</v>
      </c>
      <c r="P161" s="530">
        <v>37876.384007713219</v>
      </c>
      <c r="Q161" s="530">
        <v>25470.521803635515</v>
      </c>
      <c r="R161" s="530">
        <v>13073.888433249105</v>
      </c>
      <c r="S161" s="530">
        <v>11272.50667446286</v>
      </c>
      <c r="T161" s="530">
        <v>343847.52434970933</v>
      </c>
      <c r="U161" s="530" t="s">
        <v>57</v>
      </c>
    </row>
    <row r="162" spans="1:21" ht="13.8" x14ac:dyDescent="0.3">
      <c r="A162" s="530" t="str">
        <f t="shared" si="4"/>
        <v>North Wales.2014.Economic Impact.Serviced Accommodation</v>
      </c>
      <c r="B162" s="530" t="s">
        <v>220</v>
      </c>
      <c r="C162" s="530" t="str">
        <f t="shared" si="5"/>
        <v>2014.Economic Impact.Serviced Accommodation</v>
      </c>
      <c r="D162" s="530" t="s">
        <v>231</v>
      </c>
      <c r="E162" s="530" t="s">
        <v>17</v>
      </c>
      <c r="F162" s="530" t="s">
        <v>43</v>
      </c>
      <c r="G162" s="530" t="s">
        <v>43</v>
      </c>
      <c r="H162" s="530">
        <v>17197.923266392405</v>
      </c>
      <c r="I162" s="530">
        <v>24265.169648893047</v>
      </c>
      <c r="J162" s="530">
        <v>25572.842882818724</v>
      </c>
      <c r="K162" s="530">
        <v>34191.150190322594</v>
      </c>
      <c r="L162" s="530">
        <v>41186.222107974419</v>
      </c>
      <c r="M162" s="530">
        <v>39090.767825493807</v>
      </c>
      <c r="N162" s="530">
        <v>59064.520255310978</v>
      </c>
      <c r="O162" s="530">
        <v>67160.752697018892</v>
      </c>
      <c r="P162" s="530">
        <v>54192.410784269123</v>
      </c>
      <c r="Q162" s="530">
        <v>32872.733565690614</v>
      </c>
      <c r="R162" s="530">
        <v>24922.002698200617</v>
      </c>
      <c r="S162" s="530">
        <v>17969.717512302679</v>
      </c>
      <c r="T162" s="530">
        <v>437686.21343468793</v>
      </c>
      <c r="U162" s="530" t="s">
        <v>57</v>
      </c>
    </row>
    <row r="163" spans="1:21" ht="13.8" x14ac:dyDescent="0.3">
      <c r="A163" s="530" t="str">
        <f t="shared" si="4"/>
        <v>North Wales.2014.Economic Impact.Non-Serviced Accommodation</v>
      </c>
      <c r="B163" s="530" t="s">
        <v>220</v>
      </c>
      <c r="C163" s="530" t="str">
        <f t="shared" si="5"/>
        <v>2014.Economic Impact.Non-Serviced Accommodation</v>
      </c>
      <c r="D163" s="530" t="s">
        <v>231</v>
      </c>
      <c r="E163" s="530" t="s">
        <v>17</v>
      </c>
      <c r="F163" s="530" t="s">
        <v>48</v>
      </c>
      <c r="G163" s="530" t="s">
        <v>48</v>
      </c>
      <c r="H163" s="530">
        <v>22403.001930046037</v>
      </c>
      <c r="I163" s="530">
        <v>37221.045039297256</v>
      </c>
      <c r="J163" s="530">
        <v>115902.82129288468</v>
      </c>
      <c r="K163" s="530">
        <v>127611.68081100617</v>
      </c>
      <c r="L163" s="530">
        <v>158472.54279581257</v>
      </c>
      <c r="M163" s="530">
        <v>161136.45133181743</v>
      </c>
      <c r="N163" s="530">
        <v>231188.15949302932</v>
      </c>
      <c r="O163" s="530">
        <v>264998.49858918507</v>
      </c>
      <c r="P163" s="530">
        <v>175754.44645219183</v>
      </c>
      <c r="Q163" s="530">
        <v>108791.44480151702</v>
      </c>
      <c r="R163" s="530">
        <v>48864.072688609616</v>
      </c>
      <c r="S163" s="530">
        <v>40357.508570203303</v>
      </c>
      <c r="T163" s="530">
        <v>1492701.6737956002</v>
      </c>
      <c r="U163" s="530" t="s">
        <v>57</v>
      </c>
    </row>
    <row r="164" spans="1:21" ht="13.8" x14ac:dyDescent="0.3">
      <c r="A164" s="530" t="str">
        <f t="shared" si="4"/>
        <v>North Wales.2014.Economic Impact.SFR</v>
      </c>
      <c r="B164" s="530" t="s">
        <v>220</v>
      </c>
      <c r="C164" s="530" t="str">
        <f t="shared" si="5"/>
        <v>2014.Economic Impact.SFR</v>
      </c>
      <c r="D164" s="530" t="s">
        <v>231</v>
      </c>
      <c r="E164" s="530" t="s">
        <v>17</v>
      </c>
      <c r="F164" s="530" t="s">
        <v>18</v>
      </c>
      <c r="G164" s="530" t="s">
        <v>18</v>
      </c>
      <c r="H164" s="530">
        <v>13141.354921503878</v>
      </c>
      <c r="I164" s="530">
        <v>4415.4952536253022</v>
      </c>
      <c r="J164" s="530">
        <v>5022.9178811081492</v>
      </c>
      <c r="K164" s="530">
        <v>11984.915688411536</v>
      </c>
      <c r="L164" s="530">
        <v>7709.5948872822755</v>
      </c>
      <c r="M164" s="530">
        <v>5938.8411161260319</v>
      </c>
      <c r="N164" s="530">
        <v>9636.993609102843</v>
      </c>
      <c r="O164" s="530">
        <v>10201.663028574396</v>
      </c>
      <c r="P164" s="530">
        <v>5254.6846571059796</v>
      </c>
      <c r="Q164" s="530">
        <v>5249.5332459767496</v>
      </c>
      <c r="R164" s="530">
        <v>4090.465741900106</v>
      </c>
      <c r="S164" s="530">
        <v>11844.741235915495</v>
      </c>
      <c r="T164" s="530">
        <v>94491.20126663275</v>
      </c>
      <c r="U164" s="530" t="s">
        <v>57</v>
      </c>
    </row>
    <row r="165" spans="1:21" ht="13.8" x14ac:dyDescent="0.3">
      <c r="A165" s="530" t="str">
        <f t="shared" si="4"/>
        <v>North Wales.2014.Economic Impact.Day Visitor</v>
      </c>
      <c r="B165" s="530" t="s">
        <v>220</v>
      </c>
      <c r="C165" s="530" t="str">
        <f t="shared" si="5"/>
        <v>2014.Economic Impact.Day Visitor</v>
      </c>
      <c r="D165" s="530" t="s">
        <v>231</v>
      </c>
      <c r="E165" s="530" t="s">
        <v>17</v>
      </c>
      <c r="F165" s="530" t="s">
        <v>71</v>
      </c>
      <c r="G165" s="530" t="s">
        <v>71</v>
      </c>
      <c r="H165" s="530">
        <v>18112.534516689288</v>
      </c>
      <c r="I165" s="530">
        <v>29497.521541076811</v>
      </c>
      <c r="J165" s="530">
        <v>41937.012193080285</v>
      </c>
      <c r="K165" s="530">
        <v>78335.780465446529</v>
      </c>
      <c r="L165" s="530">
        <v>80911.895843132021</v>
      </c>
      <c r="M165" s="530">
        <v>77957.656686740811</v>
      </c>
      <c r="N165" s="530">
        <v>102298.2953427028</v>
      </c>
      <c r="O165" s="530">
        <v>132174.75788065878</v>
      </c>
      <c r="P165" s="530">
        <v>68687.681630256833</v>
      </c>
      <c r="Q165" s="530">
        <v>57609.830502629375</v>
      </c>
      <c r="R165" s="530">
        <v>26542.563857630692</v>
      </c>
      <c r="S165" s="530">
        <v>20519.224829471394</v>
      </c>
      <c r="T165" s="530">
        <v>734584.7552895156</v>
      </c>
      <c r="U165" s="530" t="s">
        <v>57</v>
      </c>
    </row>
    <row r="166" spans="1:21" ht="13.8" x14ac:dyDescent="0.3">
      <c r="A166" s="530" t="str">
        <f t="shared" si="4"/>
        <v>North Wales.2014.Economic Impact.Accommodation</v>
      </c>
      <c r="B166" s="530" t="s">
        <v>220</v>
      </c>
      <c r="C166" s="530" t="str">
        <f t="shared" si="5"/>
        <v>2014.Economic Impact.Accommodation</v>
      </c>
      <c r="D166" s="530" t="s">
        <v>231</v>
      </c>
      <c r="E166" s="530" t="s">
        <v>17</v>
      </c>
      <c r="F166" s="530" t="s">
        <v>23</v>
      </c>
      <c r="G166" s="530" t="s">
        <v>23</v>
      </c>
      <c r="H166" s="530">
        <v>9030.6358009521064</v>
      </c>
      <c r="I166" s="530">
        <v>13707.58046613463</v>
      </c>
      <c r="J166" s="530">
        <v>20909.900167039028</v>
      </c>
      <c r="K166" s="530">
        <v>24321.461596251134</v>
      </c>
      <c r="L166" s="530">
        <v>28949.624308366176</v>
      </c>
      <c r="M166" s="530">
        <v>29404.147053081291</v>
      </c>
      <c r="N166" s="530">
        <v>56210.121008301809</v>
      </c>
      <c r="O166" s="530">
        <v>65566.578906480354</v>
      </c>
      <c r="P166" s="530">
        <v>50758.130166965217</v>
      </c>
      <c r="Q166" s="530">
        <v>21486.821355939745</v>
      </c>
      <c r="R166" s="530">
        <v>14219.112532030103</v>
      </c>
      <c r="S166" s="530">
        <v>12164.516955890329</v>
      </c>
      <c r="T166" s="530">
        <v>346728.63031743187</v>
      </c>
      <c r="U166" s="530" t="s">
        <v>57</v>
      </c>
    </row>
    <row r="167" spans="1:21" ht="13.8" x14ac:dyDescent="0.3">
      <c r="A167" s="530" t="str">
        <f t="shared" si="4"/>
        <v>North Wales.2014.Economic Impact.Food &amp; Drink</v>
      </c>
      <c r="B167" s="530" t="s">
        <v>220</v>
      </c>
      <c r="C167" s="530" t="str">
        <f t="shared" si="5"/>
        <v>2014.Economic Impact.Food &amp; Drink</v>
      </c>
      <c r="D167" s="530" t="s">
        <v>231</v>
      </c>
      <c r="E167" s="530" t="s">
        <v>17</v>
      </c>
      <c r="F167" s="530" t="s">
        <v>49</v>
      </c>
      <c r="G167" s="530" t="s">
        <v>49</v>
      </c>
      <c r="H167" s="530">
        <v>12036.51615989425</v>
      </c>
      <c r="I167" s="530">
        <v>14218.104596268204</v>
      </c>
      <c r="J167" s="530">
        <v>31186.694487764744</v>
      </c>
      <c r="K167" s="530">
        <v>42036.910269622917</v>
      </c>
      <c r="L167" s="530">
        <v>47932.824497326037</v>
      </c>
      <c r="M167" s="530">
        <v>47181.945921407591</v>
      </c>
      <c r="N167" s="530">
        <v>62476.660027564474</v>
      </c>
      <c r="O167" s="530">
        <v>72671.079533762197</v>
      </c>
      <c r="P167" s="530">
        <v>44864.190474175448</v>
      </c>
      <c r="Q167" s="530">
        <v>34462.333061520527</v>
      </c>
      <c r="R167" s="530">
        <v>16910.617846355504</v>
      </c>
      <c r="S167" s="530">
        <v>14628.216200290433</v>
      </c>
      <c r="T167" s="530">
        <v>440606.09307595238</v>
      </c>
      <c r="U167" s="530" t="s">
        <v>57</v>
      </c>
    </row>
    <row r="168" spans="1:21" ht="13.8" x14ac:dyDescent="0.3">
      <c r="A168" s="530" t="str">
        <f t="shared" si="4"/>
        <v>North Wales.2014.Economic Impact.Recreation</v>
      </c>
      <c r="B168" s="530" t="s">
        <v>220</v>
      </c>
      <c r="C168" s="530" t="str">
        <f t="shared" si="5"/>
        <v>2014.Economic Impact.Recreation</v>
      </c>
      <c r="D168" s="530" t="s">
        <v>231</v>
      </c>
      <c r="E168" s="530" t="s">
        <v>17</v>
      </c>
      <c r="F168" s="530" t="s">
        <v>50</v>
      </c>
      <c r="G168" s="530" t="s">
        <v>50</v>
      </c>
      <c r="H168" s="530">
        <v>3382.9477899350286</v>
      </c>
      <c r="I168" s="530">
        <v>4850.4879576114226</v>
      </c>
      <c r="J168" s="530">
        <v>11082.057392502344</v>
      </c>
      <c r="K168" s="530">
        <v>13255.670457933944</v>
      </c>
      <c r="L168" s="530">
        <v>15574.732225061229</v>
      </c>
      <c r="M168" s="530">
        <v>15531.034741837397</v>
      </c>
      <c r="N168" s="530">
        <v>20268.340462526801</v>
      </c>
      <c r="O168" s="530">
        <v>24302.424373020738</v>
      </c>
      <c r="P168" s="530">
        <v>14540.972370759024</v>
      </c>
      <c r="Q168" s="530">
        <v>10521.48581708219</v>
      </c>
      <c r="R168" s="530">
        <v>5298.6649849023115</v>
      </c>
      <c r="S168" s="530">
        <v>4429.7094739399663</v>
      </c>
      <c r="T168" s="530">
        <v>143038.5280471124</v>
      </c>
      <c r="U168" s="530" t="s">
        <v>57</v>
      </c>
    </row>
    <row r="169" spans="1:21" ht="13.8" x14ac:dyDescent="0.3">
      <c r="A169" s="530" t="str">
        <f t="shared" si="4"/>
        <v>North Wales.2014.Economic Impact.Shopping</v>
      </c>
      <c r="B169" s="530" t="s">
        <v>220</v>
      </c>
      <c r="C169" s="530" t="str">
        <f t="shared" si="5"/>
        <v>2014.Economic Impact.Shopping</v>
      </c>
      <c r="D169" s="530" t="s">
        <v>231</v>
      </c>
      <c r="E169" s="530" t="s">
        <v>17</v>
      </c>
      <c r="F169" s="530" t="s">
        <v>51</v>
      </c>
      <c r="G169" s="530" t="s">
        <v>51</v>
      </c>
      <c r="H169" s="530">
        <v>15296.33489946705</v>
      </c>
      <c r="I169" s="530">
        <v>20387.689329883142</v>
      </c>
      <c r="J169" s="530">
        <v>40011.8128434768</v>
      </c>
      <c r="K169" s="530">
        <v>58441.614457224125</v>
      </c>
      <c r="L169" s="530">
        <v>65243.942257845891</v>
      </c>
      <c r="M169" s="530">
        <v>63421.176030856965</v>
      </c>
      <c r="N169" s="530">
        <v>83344.978910306294</v>
      </c>
      <c r="O169" s="530">
        <v>99615.55066174925</v>
      </c>
      <c r="P169" s="530">
        <v>59182.094232732758</v>
      </c>
      <c r="Q169" s="530">
        <v>45836.15440324635</v>
      </c>
      <c r="R169" s="530">
        <v>21724.985379608726</v>
      </c>
      <c r="S169" s="530">
        <v>19160.850073736063</v>
      </c>
      <c r="T169" s="530">
        <v>591667.18348013354</v>
      </c>
      <c r="U169" s="530" t="s">
        <v>57</v>
      </c>
    </row>
    <row r="170" spans="1:21" ht="13.8" x14ac:dyDescent="0.3">
      <c r="A170" s="530" t="str">
        <f t="shared" si="4"/>
        <v>North Wales.2014.Economic Impact.Transport</v>
      </c>
      <c r="B170" s="530" t="s">
        <v>220</v>
      </c>
      <c r="C170" s="530" t="str">
        <f t="shared" si="5"/>
        <v>2014.Economic Impact.Transport</v>
      </c>
      <c r="D170" s="530" t="s">
        <v>231</v>
      </c>
      <c r="E170" s="530" t="s">
        <v>17</v>
      </c>
      <c r="F170" s="530" t="s">
        <v>52</v>
      </c>
      <c r="G170" s="530" t="s">
        <v>52</v>
      </c>
      <c r="H170" s="530">
        <v>4698.4051910306207</v>
      </c>
      <c r="I170" s="530">
        <v>6419.2491258216069</v>
      </c>
      <c r="J170" s="530">
        <v>14290.113194741203</v>
      </c>
      <c r="K170" s="530">
        <v>18850.590140886234</v>
      </c>
      <c r="L170" s="530">
        <v>21920.117250881856</v>
      </c>
      <c r="M170" s="530">
        <v>21387.228993029956</v>
      </c>
      <c r="N170" s="530">
        <v>28114.513183247636</v>
      </c>
      <c r="O170" s="530">
        <v>33239.320482148876</v>
      </c>
      <c r="P170" s="530">
        <v>20036.532793933649</v>
      </c>
      <c r="Q170" s="530">
        <v>15045.814380388743</v>
      </c>
      <c r="R170" s="530">
        <v>7216.0614233488695</v>
      </c>
      <c r="S170" s="530">
        <v>5979.2406684575053</v>
      </c>
      <c r="T170" s="530">
        <v>197197.18682791677</v>
      </c>
      <c r="U170" s="530" t="s">
        <v>57</v>
      </c>
    </row>
    <row r="171" spans="1:21" ht="13.8" x14ac:dyDescent="0.3">
      <c r="A171" s="530" t="str">
        <f t="shared" si="4"/>
        <v>North Wales.2014.Economic Impact.Direct Expenditure</v>
      </c>
      <c r="B171" s="530" t="s">
        <v>220</v>
      </c>
      <c r="C171" s="530" t="str">
        <f t="shared" si="5"/>
        <v>2014.Economic Impact.Direct Expenditure</v>
      </c>
      <c r="D171" s="530" t="s">
        <v>231</v>
      </c>
      <c r="E171" s="530" t="s">
        <v>17</v>
      </c>
      <c r="F171" s="530" t="s">
        <v>44</v>
      </c>
      <c r="G171" s="530" t="s">
        <v>44</v>
      </c>
      <c r="H171" s="530">
        <v>53333.807809534861</v>
      </c>
      <c r="I171" s="530">
        <v>71499.733770862804</v>
      </c>
      <c r="J171" s="530">
        <v>140976.69370262892</v>
      </c>
      <c r="K171" s="530">
        <v>188287.49630630203</v>
      </c>
      <c r="L171" s="530">
        <v>215545.48864737741</v>
      </c>
      <c r="M171" s="530">
        <v>212310.63928825583</v>
      </c>
      <c r="N171" s="530">
        <v>300497.53631033638</v>
      </c>
      <c r="O171" s="530">
        <v>354473.94474859373</v>
      </c>
      <c r="P171" s="530">
        <v>227258.30404627929</v>
      </c>
      <c r="Q171" s="530">
        <v>152823.13082181307</v>
      </c>
      <c r="R171" s="530">
        <v>78443.330599494613</v>
      </c>
      <c r="S171" s="530">
        <v>67635.040046777154</v>
      </c>
      <c r="T171" s="530">
        <v>2063085.1460982561</v>
      </c>
      <c r="U171" s="530" t="s">
        <v>57</v>
      </c>
    </row>
    <row r="172" spans="1:21" ht="13.8" x14ac:dyDescent="0.3">
      <c r="A172" s="530" t="str">
        <f t="shared" si="4"/>
        <v>North Wales.2014.Population.Total</v>
      </c>
      <c r="B172" s="530" t="s">
        <v>220</v>
      </c>
      <c r="C172" s="530" t="str">
        <f t="shared" si="5"/>
        <v>2014.Population.Total</v>
      </c>
      <c r="D172" s="530" t="s">
        <v>231</v>
      </c>
      <c r="E172" s="530" t="s">
        <v>19</v>
      </c>
      <c r="F172" s="530" t="s">
        <v>54</v>
      </c>
      <c r="G172" s="530" t="s">
        <v>54</v>
      </c>
      <c r="H172" s="530">
        <v>691900</v>
      </c>
      <c r="I172" s="530">
        <v>691900</v>
      </c>
      <c r="J172" s="530">
        <v>691900</v>
      </c>
      <c r="K172" s="530">
        <v>691900</v>
      </c>
      <c r="L172" s="530">
        <v>691900</v>
      </c>
      <c r="M172" s="530">
        <v>691900</v>
      </c>
      <c r="N172" s="530">
        <v>691900</v>
      </c>
      <c r="O172" s="530">
        <v>691900</v>
      </c>
      <c r="P172" s="530">
        <v>691900</v>
      </c>
      <c r="Q172" s="530">
        <v>691900</v>
      </c>
      <c r="R172" s="530">
        <v>691900</v>
      </c>
      <c r="S172" s="530">
        <v>691900</v>
      </c>
      <c r="T172" s="530">
        <v>691900</v>
      </c>
      <c r="U172" s="530" t="s">
        <v>60</v>
      </c>
    </row>
    <row r="173" spans="1:21" ht="13.8" x14ac:dyDescent="0.3">
      <c r="A173" s="530" t="str">
        <f t="shared" si="4"/>
        <v>North Wales.2014.Employment.Serviced Accommodation</v>
      </c>
      <c r="B173" s="530" t="s">
        <v>220</v>
      </c>
      <c r="C173" s="530" t="str">
        <f t="shared" si="5"/>
        <v>2014.Employment.Serviced Accommodation</v>
      </c>
      <c r="D173" s="530" t="s">
        <v>231</v>
      </c>
      <c r="E173" s="530" t="s">
        <v>20</v>
      </c>
      <c r="F173" s="530" t="s">
        <v>43</v>
      </c>
      <c r="G173" s="530" t="s">
        <v>43</v>
      </c>
      <c r="H173" s="530">
        <v>5758.7837991320948</v>
      </c>
      <c r="I173" s="530">
        <v>6394.8678839599679</v>
      </c>
      <c r="J173" s="530">
        <v>6844.009671849296</v>
      </c>
      <c r="K173" s="530">
        <v>7482.7400433748444</v>
      </c>
      <c r="L173" s="530">
        <v>7904.6565784932491</v>
      </c>
      <c r="M173" s="530">
        <v>7776.9327065050629</v>
      </c>
      <c r="N173" s="530">
        <v>8048.2764604150752</v>
      </c>
      <c r="O173" s="530">
        <v>8512.8349825465848</v>
      </c>
      <c r="P173" s="530">
        <v>7838.4844101520612</v>
      </c>
      <c r="Q173" s="530">
        <v>7338.1565210096924</v>
      </c>
      <c r="R173" s="530">
        <v>6629.055315547037</v>
      </c>
      <c r="S173" s="530">
        <v>6022.7854761561457</v>
      </c>
      <c r="T173" s="530">
        <v>7212.6319874284245</v>
      </c>
      <c r="U173" s="530" t="s">
        <v>59</v>
      </c>
    </row>
    <row r="174" spans="1:21" ht="13.8" x14ac:dyDescent="0.3">
      <c r="A174" s="530" t="str">
        <f t="shared" si="4"/>
        <v>North Wales.2014.Employment.Non-Serviced Accommodation</v>
      </c>
      <c r="B174" s="530" t="s">
        <v>220</v>
      </c>
      <c r="C174" s="530" t="str">
        <f t="shared" si="5"/>
        <v>2014.Employment.Non-Serviced Accommodation</v>
      </c>
      <c r="D174" s="530" t="s">
        <v>231</v>
      </c>
      <c r="E174" s="530" t="s">
        <v>20</v>
      </c>
      <c r="F174" s="530" t="s">
        <v>48</v>
      </c>
      <c r="G174" s="530" t="s">
        <v>48</v>
      </c>
      <c r="H174" s="530">
        <v>6309.9094023796697</v>
      </c>
      <c r="I174" s="530">
        <v>7690.8451077676737</v>
      </c>
      <c r="J174" s="530">
        <v>16719.914495322413</v>
      </c>
      <c r="K174" s="530">
        <v>18352.246892574625</v>
      </c>
      <c r="L174" s="530">
        <v>21770.897827003577</v>
      </c>
      <c r="M174" s="530">
        <v>21870.56293256006</v>
      </c>
      <c r="N174" s="530">
        <v>27332.650738816894</v>
      </c>
      <c r="O174" s="530">
        <v>32598.982743975066</v>
      </c>
      <c r="P174" s="530">
        <v>21260.447413157344</v>
      </c>
      <c r="Q174" s="530">
        <v>16487.872841002583</v>
      </c>
      <c r="R174" s="530">
        <v>9369.4813493610436</v>
      </c>
      <c r="S174" s="530">
        <v>7954.7525227638616</v>
      </c>
      <c r="T174" s="530">
        <v>17309.88035555707</v>
      </c>
      <c r="U174" s="530" t="s">
        <v>59</v>
      </c>
    </row>
    <row r="175" spans="1:21" ht="13.8" x14ac:dyDescent="0.3">
      <c r="A175" s="530" t="str">
        <f t="shared" si="4"/>
        <v>North Wales.2014.Employment.SFR</v>
      </c>
      <c r="B175" s="530" t="s">
        <v>220</v>
      </c>
      <c r="C175" s="530" t="str">
        <f t="shared" si="5"/>
        <v>2014.Employment.SFR</v>
      </c>
      <c r="D175" s="530" t="s">
        <v>231</v>
      </c>
      <c r="E175" s="530" t="s">
        <v>20</v>
      </c>
      <c r="F175" s="530" t="s">
        <v>18</v>
      </c>
      <c r="G175" s="530" t="s">
        <v>18</v>
      </c>
      <c r="H175" s="530">
        <v>1664.8482758377222</v>
      </c>
      <c r="I175" s="530">
        <v>559.38902068147456</v>
      </c>
      <c r="J175" s="530">
        <v>636.34200765352944</v>
      </c>
      <c r="K175" s="530">
        <v>1518.3416275640025</v>
      </c>
      <c r="L175" s="530">
        <v>976.71098849146392</v>
      </c>
      <c r="M175" s="530">
        <v>752.37823281658348</v>
      </c>
      <c r="N175" s="530">
        <v>1220.8887356143296</v>
      </c>
      <c r="O175" s="530">
        <v>1292.4254161956587</v>
      </c>
      <c r="P175" s="530">
        <v>665.70401177877056</v>
      </c>
      <c r="Q175" s="530">
        <v>665.05139125464223</v>
      </c>
      <c r="R175" s="530">
        <v>518.21177332575496</v>
      </c>
      <c r="S175" s="530">
        <v>1500.583245955067</v>
      </c>
      <c r="T175" s="530">
        <v>997.57289393074984</v>
      </c>
      <c r="U175" s="530" t="s">
        <v>59</v>
      </c>
    </row>
    <row r="176" spans="1:21" ht="13.8" x14ac:dyDescent="0.3">
      <c r="A176" s="530" t="str">
        <f t="shared" si="4"/>
        <v>North Wales.2014.Employment.Day Visitor</v>
      </c>
      <c r="B176" s="530" t="s">
        <v>220</v>
      </c>
      <c r="C176" s="530" t="str">
        <f t="shared" si="5"/>
        <v>2014.Employment.Day Visitor</v>
      </c>
      <c r="D176" s="530" t="s">
        <v>231</v>
      </c>
      <c r="E176" s="530" t="s">
        <v>20</v>
      </c>
      <c r="F176" s="530" t="s">
        <v>71</v>
      </c>
      <c r="G176" s="530" t="s">
        <v>71</v>
      </c>
      <c r="H176" s="530">
        <v>2135.3899604972571</v>
      </c>
      <c r="I176" s="530">
        <v>3443.7226914550083</v>
      </c>
      <c r="J176" s="530">
        <v>4892.1565532062905</v>
      </c>
      <c r="K176" s="530">
        <v>9106.8055373065326</v>
      </c>
      <c r="L176" s="530">
        <v>9397.7747691082186</v>
      </c>
      <c r="M176" s="530">
        <v>9064.7321019975589</v>
      </c>
      <c r="N176" s="530">
        <v>11906.603570122805</v>
      </c>
      <c r="O176" s="530">
        <v>15379.048944816073</v>
      </c>
      <c r="P176" s="530">
        <v>7989.4198309558114</v>
      </c>
      <c r="Q176" s="530">
        <v>6727.7004055368134</v>
      </c>
      <c r="R176" s="530">
        <v>3117.845486243094</v>
      </c>
      <c r="S176" s="530">
        <v>2420.959291236521</v>
      </c>
      <c r="T176" s="530">
        <v>7131.8465952068327</v>
      </c>
      <c r="U176" s="530" t="s">
        <v>59</v>
      </c>
    </row>
    <row r="177" spans="1:21" ht="13.8" x14ac:dyDescent="0.3">
      <c r="A177" s="530" t="str">
        <f t="shared" si="4"/>
        <v>North Wales.2014.Employment.Direct Employment</v>
      </c>
      <c r="B177" s="530" t="s">
        <v>220</v>
      </c>
      <c r="C177" s="530" t="str">
        <f t="shared" si="5"/>
        <v>2014.Employment.Direct Employment</v>
      </c>
      <c r="D177" s="530" t="s">
        <v>231</v>
      </c>
      <c r="E177" s="530" t="s">
        <v>20</v>
      </c>
      <c r="F177" s="530" t="s">
        <v>55</v>
      </c>
      <c r="G177" s="530" t="s">
        <v>55</v>
      </c>
      <c r="H177" s="530">
        <v>15868.931437846742</v>
      </c>
      <c r="I177" s="530">
        <v>18088.824703864124</v>
      </c>
      <c r="J177" s="530">
        <v>29092.422728031528</v>
      </c>
      <c r="K177" s="530">
        <v>36460.134100820011</v>
      </c>
      <c r="L177" s="530">
        <v>40050.040163096506</v>
      </c>
      <c r="M177" s="530">
        <v>39464.605973879268</v>
      </c>
      <c r="N177" s="530">
        <v>48508.419504969104</v>
      </c>
      <c r="O177" s="530">
        <v>57783.292087533395</v>
      </c>
      <c r="P177" s="530">
        <v>37754.055666043991</v>
      </c>
      <c r="Q177" s="530">
        <v>31218.781158803729</v>
      </c>
      <c r="R177" s="530">
        <v>19634.593924476929</v>
      </c>
      <c r="S177" s="530">
        <v>17899.0805361116</v>
      </c>
      <c r="T177" s="530">
        <v>32651.931832123078</v>
      </c>
      <c r="U177" s="530" t="s">
        <v>59</v>
      </c>
    </row>
    <row r="178" spans="1:21" ht="13.8" x14ac:dyDescent="0.3">
      <c r="A178" s="530" t="str">
        <f t="shared" si="4"/>
        <v>North Wales.2014.Employment.Indirect Employment</v>
      </c>
      <c r="B178" s="530" t="s">
        <v>220</v>
      </c>
      <c r="C178" s="530" t="str">
        <f t="shared" si="5"/>
        <v>2014.Employment.Indirect Employment</v>
      </c>
      <c r="D178" s="530" t="s">
        <v>231</v>
      </c>
      <c r="E178" s="530" t="s">
        <v>20</v>
      </c>
      <c r="F178" s="530" t="s">
        <v>53</v>
      </c>
      <c r="G178" s="530" t="s">
        <v>53</v>
      </c>
      <c r="H178" s="530">
        <v>2264.3958774413672</v>
      </c>
      <c r="I178" s="530">
        <v>3088.7451065039136</v>
      </c>
      <c r="J178" s="530">
        <v>6133.5367208002081</v>
      </c>
      <c r="K178" s="530">
        <v>8250.0992396957481</v>
      </c>
      <c r="L178" s="530">
        <v>9400.1622255924831</v>
      </c>
      <c r="M178" s="530">
        <v>9281.0441003740361</v>
      </c>
      <c r="N178" s="530">
        <v>13142.360948623356</v>
      </c>
      <c r="O178" s="530">
        <v>15516.647152930949</v>
      </c>
      <c r="P178" s="530">
        <v>9903.6967385311764</v>
      </c>
      <c r="Q178" s="530">
        <v>6681.7049593559477</v>
      </c>
      <c r="R178" s="530">
        <v>3357.0808471274777</v>
      </c>
      <c r="S178" s="530">
        <v>2979.7520364323741</v>
      </c>
      <c r="T178" s="530">
        <v>7499.9354961174186</v>
      </c>
      <c r="U178" s="530" t="s">
        <v>59</v>
      </c>
    </row>
    <row r="179" spans="1:21" ht="13.8" x14ac:dyDescent="0.3">
      <c r="A179" s="530" t="str">
        <f t="shared" si="4"/>
        <v>North Wales.2014.Employment.Total</v>
      </c>
      <c r="B179" s="530" t="s">
        <v>220</v>
      </c>
      <c r="C179" s="530" t="str">
        <f t="shared" si="5"/>
        <v>2014.Employment.Total</v>
      </c>
      <c r="D179" s="530" t="s">
        <v>231</v>
      </c>
      <c r="E179" s="530" t="s">
        <v>20</v>
      </c>
      <c r="F179" s="530" t="s">
        <v>54</v>
      </c>
      <c r="G179" s="530" t="s">
        <v>54</v>
      </c>
      <c r="H179" s="530">
        <v>18133.327315288112</v>
      </c>
      <c r="I179" s="530">
        <v>21177.569810368037</v>
      </c>
      <c r="J179" s="530">
        <v>35225.959448831745</v>
      </c>
      <c r="K179" s="530">
        <v>44710.233340515762</v>
      </c>
      <c r="L179" s="530">
        <v>49450.202388688987</v>
      </c>
      <c r="M179" s="530">
        <v>48745.650074253295</v>
      </c>
      <c r="N179" s="530">
        <v>61650.780453592452</v>
      </c>
      <c r="O179" s="530">
        <v>73299.939240464329</v>
      </c>
      <c r="P179" s="530">
        <v>47657.752404575171</v>
      </c>
      <c r="Q179" s="530">
        <v>37900.486118159672</v>
      </c>
      <c r="R179" s="530">
        <v>22991.674771604405</v>
      </c>
      <c r="S179" s="530">
        <v>20878.832572543972</v>
      </c>
      <c r="T179" s="530">
        <v>40151.8673282405</v>
      </c>
      <c r="U179" s="530" t="s">
        <v>59</v>
      </c>
    </row>
    <row r="180" spans="1:21" ht="13.8" x14ac:dyDescent="0.3">
      <c r="A180" s="530" t="str">
        <f t="shared" si="4"/>
        <v>North Wales.2014.Employment.Accommodation</v>
      </c>
      <c r="B180" s="530" t="s">
        <v>220</v>
      </c>
      <c r="C180" s="530" t="str">
        <f t="shared" si="5"/>
        <v>2014.Employment.Accommodation</v>
      </c>
      <c r="D180" s="530" t="s">
        <v>231</v>
      </c>
      <c r="E180" s="530" t="s">
        <v>20</v>
      </c>
      <c r="F180" s="530" t="s">
        <v>23</v>
      </c>
      <c r="G180" s="530" t="s">
        <v>23</v>
      </c>
      <c r="H180" s="530">
        <v>8959.9007183908052</v>
      </c>
      <c r="I180" s="530">
        <v>9251.3181874160327</v>
      </c>
      <c r="J180" s="530">
        <v>10425.660632183908</v>
      </c>
      <c r="K180" s="530">
        <v>10910.327932344817</v>
      </c>
      <c r="L180" s="530">
        <v>11024.907113839768</v>
      </c>
      <c r="M180" s="530">
        <v>11007.55812247388</v>
      </c>
      <c r="N180" s="530">
        <v>11023.188517053995</v>
      </c>
      <c r="O180" s="530">
        <v>13499.69398481029</v>
      </c>
      <c r="P180" s="530">
        <v>10970.498033877797</v>
      </c>
      <c r="Q180" s="530">
        <v>10752.719396551724</v>
      </c>
      <c r="R180" s="530">
        <v>9711.7857758620685</v>
      </c>
      <c r="S180" s="530">
        <v>9307.0774425287345</v>
      </c>
      <c r="T180" s="530">
        <v>10570.386321444486</v>
      </c>
      <c r="U180" s="530" t="s">
        <v>59</v>
      </c>
    </row>
    <row r="181" spans="1:21" ht="13.8" x14ac:dyDescent="0.3">
      <c r="A181" s="530" t="str">
        <f t="shared" si="4"/>
        <v>North Wales.2014.Employment.Food &amp; Drink</v>
      </c>
      <c r="B181" s="530" t="s">
        <v>220</v>
      </c>
      <c r="C181" s="530" t="str">
        <f t="shared" si="5"/>
        <v>2014.Employment.Food &amp; Drink</v>
      </c>
      <c r="D181" s="530" t="s">
        <v>231</v>
      </c>
      <c r="E181" s="530" t="s">
        <v>20</v>
      </c>
      <c r="F181" s="530" t="s">
        <v>49</v>
      </c>
      <c r="G181" s="530" t="s">
        <v>49</v>
      </c>
      <c r="H181" s="530">
        <v>3040.101222733656</v>
      </c>
      <c r="I181" s="530">
        <v>3591.1119624542375</v>
      </c>
      <c r="J181" s="530">
        <v>7876.9227562028664</v>
      </c>
      <c r="K181" s="530">
        <v>10617.396314096619</v>
      </c>
      <c r="L181" s="530">
        <v>12106.546149037769</v>
      </c>
      <c r="M181" s="530">
        <v>11916.89435557445</v>
      </c>
      <c r="N181" s="530">
        <v>15779.929010935866</v>
      </c>
      <c r="O181" s="530">
        <v>18354.766014779005</v>
      </c>
      <c r="P181" s="530">
        <v>11331.491480230334</v>
      </c>
      <c r="Q181" s="530">
        <v>8704.2612236648638</v>
      </c>
      <c r="R181" s="530">
        <v>4271.1686096667545</v>
      </c>
      <c r="S181" s="530">
        <v>3694.6951564850415</v>
      </c>
      <c r="T181" s="530">
        <v>9273.773687988456</v>
      </c>
      <c r="U181" s="530" t="s">
        <v>59</v>
      </c>
    </row>
    <row r="182" spans="1:21" ht="13.8" x14ac:dyDescent="0.3">
      <c r="A182" s="530" t="str">
        <f t="shared" si="4"/>
        <v>North Wales.2014.Employment.Recreation</v>
      </c>
      <c r="B182" s="530" t="s">
        <v>220</v>
      </c>
      <c r="C182" s="530" t="str">
        <f t="shared" si="5"/>
        <v>2014.Employment.Recreation</v>
      </c>
      <c r="D182" s="530" t="s">
        <v>231</v>
      </c>
      <c r="E182" s="530" t="s">
        <v>20</v>
      </c>
      <c r="F182" s="530" t="s">
        <v>50</v>
      </c>
      <c r="G182" s="530" t="s">
        <v>50</v>
      </c>
      <c r="H182" s="530">
        <v>755.77509846438954</v>
      </c>
      <c r="I182" s="530">
        <v>1083.6342271290312</v>
      </c>
      <c r="J182" s="530">
        <v>2475.8120837470365</v>
      </c>
      <c r="K182" s="530">
        <v>2961.4130242751794</v>
      </c>
      <c r="L182" s="530">
        <v>3479.5082608053558</v>
      </c>
      <c r="M182" s="530">
        <v>3469.7459257836931</v>
      </c>
      <c r="N182" s="530">
        <v>4528.0944194146623</v>
      </c>
      <c r="O182" s="530">
        <v>5429.3380548435489</v>
      </c>
      <c r="P182" s="530">
        <v>3248.5588036490012</v>
      </c>
      <c r="Q182" s="530">
        <v>2350.5763237184606</v>
      </c>
      <c r="R182" s="530">
        <v>1183.7602290549296</v>
      </c>
      <c r="S182" s="530">
        <v>989.62925877727344</v>
      </c>
      <c r="T182" s="530">
        <v>2662.9871424718804</v>
      </c>
      <c r="U182" s="530" t="s">
        <v>59</v>
      </c>
    </row>
    <row r="183" spans="1:21" ht="13.8" x14ac:dyDescent="0.3">
      <c r="A183" s="530" t="str">
        <f t="shared" si="4"/>
        <v>North Wales.2014.Employment.Shopping</v>
      </c>
      <c r="B183" s="530" t="s">
        <v>220</v>
      </c>
      <c r="C183" s="530" t="str">
        <f t="shared" si="5"/>
        <v>2014.Employment.Shopping</v>
      </c>
      <c r="D183" s="530" t="s">
        <v>231</v>
      </c>
      <c r="E183" s="530" t="s">
        <v>20</v>
      </c>
      <c r="F183" s="530" t="s">
        <v>51</v>
      </c>
      <c r="G183" s="530" t="s">
        <v>51</v>
      </c>
      <c r="H183" s="530">
        <v>2712.1545872046149</v>
      </c>
      <c r="I183" s="530">
        <v>3614.8898086999711</v>
      </c>
      <c r="J183" s="530">
        <v>7094.3936870517318</v>
      </c>
      <c r="K183" s="530">
        <v>10362.135359583846</v>
      </c>
      <c r="L183" s="530">
        <v>11568.238956908232</v>
      </c>
      <c r="M183" s="530">
        <v>11245.048871412531</v>
      </c>
      <c r="N183" s="530">
        <v>14777.688142793926</v>
      </c>
      <c r="O183" s="530">
        <v>17662.582210696117</v>
      </c>
      <c r="P183" s="530">
        <v>10493.427962228676</v>
      </c>
      <c r="Q183" s="530">
        <v>8127.093008987069</v>
      </c>
      <c r="R183" s="530">
        <v>3852.0024006738972</v>
      </c>
      <c r="S183" s="530">
        <v>3397.3620323933778</v>
      </c>
      <c r="T183" s="530">
        <v>8742.2514190528327</v>
      </c>
      <c r="U183" s="530" t="s">
        <v>59</v>
      </c>
    </row>
    <row r="184" spans="1:21" ht="13.8" x14ac:dyDescent="0.3">
      <c r="A184" s="530" t="str">
        <f t="shared" si="4"/>
        <v>North Wales.2014.Employment.Transport</v>
      </c>
      <c r="B184" s="530" t="s">
        <v>220</v>
      </c>
      <c r="C184" s="530" t="str">
        <f t="shared" si="5"/>
        <v>2014.Employment.Transport</v>
      </c>
      <c r="D184" s="530" t="s">
        <v>231</v>
      </c>
      <c r="E184" s="530" t="s">
        <v>20</v>
      </c>
      <c r="F184" s="530" t="s">
        <v>52</v>
      </c>
      <c r="G184" s="530" t="s">
        <v>52</v>
      </c>
      <c r="H184" s="530">
        <v>400.99981105327862</v>
      </c>
      <c r="I184" s="530">
        <v>547.87051816485439</v>
      </c>
      <c r="J184" s="530">
        <v>1219.6335688459865</v>
      </c>
      <c r="K184" s="530">
        <v>1608.8614705195425</v>
      </c>
      <c r="L184" s="530">
        <v>1870.8396825053762</v>
      </c>
      <c r="M184" s="530">
        <v>1825.3586986347084</v>
      </c>
      <c r="N184" s="530">
        <v>2399.5194147706575</v>
      </c>
      <c r="O184" s="530">
        <v>2836.9118224044219</v>
      </c>
      <c r="P184" s="530">
        <v>1710.0793860581807</v>
      </c>
      <c r="Q184" s="530">
        <v>1284.1312058816143</v>
      </c>
      <c r="R184" s="530">
        <v>615.87690921927788</v>
      </c>
      <c r="S184" s="530">
        <v>510.31664592716749</v>
      </c>
      <c r="T184" s="530">
        <v>1402.5332611654221</v>
      </c>
      <c r="U184" s="530" t="s">
        <v>59</v>
      </c>
    </row>
    <row r="185" spans="1:21" ht="13.8" x14ac:dyDescent="0.3">
      <c r="A185" s="530" t="str">
        <f t="shared" si="4"/>
        <v>North Wales.2014.Visitor Days.Serviced Accommodation</v>
      </c>
      <c r="B185" s="530" t="s">
        <v>220</v>
      </c>
      <c r="C185" s="530" t="str">
        <f t="shared" si="5"/>
        <v>2014.Visitor Days.Serviced Accommodation</v>
      </c>
      <c r="D185" s="530" t="s">
        <v>231</v>
      </c>
      <c r="E185" s="530" t="s">
        <v>171</v>
      </c>
      <c r="F185" s="530" t="s">
        <v>43</v>
      </c>
      <c r="G185" s="530" t="s">
        <v>43</v>
      </c>
      <c r="H185" s="530">
        <v>191.01755444551978</v>
      </c>
      <c r="I185" s="530">
        <v>271.06663155512189</v>
      </c>
      <c r="J185" s="530">
        <v>285.67427608256958</v>
      </c>
      <c r="K185" s="530">
        <v>383.22501458248541</v>
      </c>
      <c r="L185" s="530">
        <v>466.82033106031207</v>
      </c>
      <c r="M185" s="530">
        <v>444.06429790336159</v>
      </c>
      <c r="N185" s="530">
        <v>486.81124674345642</v>
      </c>
      <c r="O185" s="530">
        <v>551.71461882165977</v>
      </c>
      <c r="P185" s="530">
        <v>444.34240078421055</v>
      </c>
      <c r="Q185" s="530">
        <v>370.0497658092865</v>
      </c>
      <c r="R185" s="530">
        <v>278.50391716809992</v>
      </c>
      <c r="S185" s="530">
        <v>197.5686619482849</v>
      </c>
      <c r="T185" s="530">
        <v>4370.8587169043685</v>
      </c>
      <c r="U185" s="530" t="s">
        <v>61</v>
      </c>
    </row>
    <row r="186" spans="1:21" ht="13.8" x14ac:dyDescent="0.3">
      <c r="A186" s="530" t="str">
        <f t="shared" si="4"/>
        <v>North Wales.2014.Visitor Days.Non-Serviced Accommodation</v>
      </c>
      <c r="B186" s="530" t="s">
        <v>220</v>
      </c>
      <c r="C186" s="530" t="str">
        <f t="shared" si="5"/>
        <v>2014.Visitor Days.Non-Serviced Accommodation</v>
      </c>
      <c r="D186" s="530" t="s">
        <v>231</v>
      </c>
      <c r="E186" s="530" t="s">
        <v>171</v>
      </c>
      <c r="F186" s="530" t="s">
        <v>48</v>
      </c>
      <c r="G186" s="530" t="s">
        <v>48</v>
      </c>
      <c r="H186" s="530">
        <v>557.37316502185809</v>
      </c>
      <c r="I186" s="530">
        <v>845.45234042216964</v>
      </c>
      <c r="J186" s="530">
        <v>2885.0794653141647</v>
      </c>
      <c r="K186" s="530">
        <v>3279.1358341599243</v>
      </c>
      <c r="L186" s="530">
        <v>4113.027538151131</v>
      </c>
      <c r="M186" s="530">
        <v>4158.2265319363678</v>
      </c>
      <c r="N186" s="530">
        <v>5534.7974092720924</v>
      </c>
      <c r="O186" s="530">
        <v>6236.2724696366395</v>
      </c>
      <c r="P186" s="530">
        <v>4036.1524495741755</v>
      </c>
      <c r="Q186" s="530">
        <v>2891.8885024252845</v>
      </c>
      <c r="R186" s="530">
        <v>1264.6066826528772</v>
      </c>
      <c r="S186" s="530">
        <v>917.07758142358432</v>
      </c>
      <c r="T186" s="530">
        <v>36719.089969990266</v>
      </c>
      <c r="U186" s="530" t="s">
        <v>61</v>
      </c>
    </row>
    <row r="187" spans="1:21" ht="13.8" x14ac:dyDescent="0.3">
      <c r="A187" s="530" t="str">
        <f t="shared" si="4"/>
        <v>North Wales.2014.Visitor Days.SFR</v>
      </c>
      <c r="B187" s="530" t="s">
        <v>220</v>
      </c>
      <c r="C187" s="530" t="str">
        <f t="shared" si="5"/>
        <v>2014.Visitor Days.SFR</v>
      </c>
      <c r="D187" s="530" t="s">
        <v>231</v>
      </c>
      <c r="E187" s="530" t="s">
        <v>171</v>
      </c>
      <c r="F187" s="530" t="s">
        <v>18</v>
      </c>
      <c r="G187" s="530" t="s">
        <v>18</v>
      </c>
      <c r="H187" s="530">
        <v>353.8125</v>
      </c>
      <c r="I187" s="530">
        <v>118.88099999999999</v>
      </c>
      <c r="J187" s="530">
        <v>135.23500000000001</v>
      </c>
      <c r="K187" s="530">
        <v>322.67700000000002</v>
      </c>
      <c r="L187" s="530">
        <v>207.57</v>
      </c>
      <c r="M187" s="530">
        <v>159.89494500000001</v>
      </c>
      <c r="N187" s="530">
        <v>259.46250000000003</v>
      </c>
      <c r="O187" s="530">
        <v>274.66543000000001</v>
      </c>
      <c r="P187" s="530">
        <v>141.47499450000001</v>
      </c>
      <c r="Q187" s="530">
        <v>141.33629999999999</v>
      </c>
      <c r="R187" s="530">
        <v>110.13003749999997</v>
      </c>
      <c r="S187" s="530">
        <v>318.90300000000002</v>
      </c>
      <c r="T187" s="530">
        <v>2544.0427070000001</v>
      </c>
      <c r="U187" s="530" t="s">
        <v>61</v>
      </c>
    </row>
    <row r="188" spans="1:21" ht="13.8" x14ac:dyDescent="0.3">
      <c r="A188" s="530" t="str">
        <f t="shared" si="4"/>
        <v>North Wales.2014.Visitor Days.Day Visitor</v>
      </c>
      <c r="B188" s="530" t="s">
        <v>220</v>
      </c>
      <c r="C188" s="530" t="str">
        <f t="shared" si="5"/>
        <v>2014.Visitor Days.Day Visitor</v>
      </c>
      <c r="D188" s="530" t="s">
        <v>231</v>
      </c>
      <c r="E188" s="530" t="s">
        <v>171</v>
      </c>
      <c r="F188" s="530" t="s">
        <v>71</v>
      </c>
      <c r="G188" s="530" t="s">
        <v>71</v>
      </c>
      <c r="H188" s="530">
        <v>498.08939481042034</v>
      </c>
      <c r="I188" s="530">
        <v>759.41660236235157</v>
      </c>
      <c r="J188" s="530">
        <v>1073.7277436333604</v>
      </c>
      <c r="K188" s="530">
        <v>1957.9256595334693</v>
      </c>
      <c r="L188" s="530">
        <v>2009.2646083370123</v>
      </c>
      <c r="M188" s="530">
        <v>1951.2593422039047</v>
      </c>
      <c r="N188" s="530">
        <v>2578.3820200181472</v>
      </c>
      <c r="O188" s="530">
        <v>3323.9151856729768</v>
      </c>
      <c r="P188" s="530">
        <v>1723.1617931524636</v>
      </c>
      <c r="Q188" s="530">
        <v>1486.0176686983073</v>
      </c>
      <c r="R188" s="530">
        <v>712.21807012253907</v>
      </c>
      <c r="S188" s="530">
        <v>566.92540839935214</v>
      </c>
      <c r="T188" s="530">
        <v>18640.303496944307</v>
      </c>
      <c r="U188" s="530" t="s">
        <v>61</v>
      </c>
    </row>
    <row r="189" spans="1:21" ht="13.8" x14ac:dyDescent="0.3">
      <c r="A189" s="530" t="str">
        <f t="shared" si="4"/>
        <v>North Wales.2014.Visitor Days.Total</v>
      </c>
      <c r="B189" s="530" t="s">
        <v>220</v>
      </c>
      <c r="C189" s="530" t="str">
        <f t="shared" si="5"/>
        <v>2014.Visitor Days.Total</v>
      </c>
      <c r="D189" s="530" t="s">
        <v>231</v>
      </c>
      <c r="E189" s="530" t="s">
        <v>171</v>
      </c>
      <c r="F189" s="530" t="s">
        <v>54</v>
      </c>
      <c r="G189" s="530" t="s">
        <v>54</v>
      </c>
      <c r="H189" s="530">
        <v>1600.2926142777983</v>
      </c>
      <c r="I189" s="530">
        <v>1994.816574339643</v>
      </c>
      <c r="J189" s="530">
        <v>4379.7164850300942</v>
      </c>
      <c r="K189" s="530">
        <v>5942.9635082758796</v>
      </c>
      <c r="L189" s="530">
        <v>6796.6824775484547</v>
      </c>
      <c r="M189" s="530">
        <v>6713.4451170436341</v>
      </c>
      <c r="N189" s="530">
        <v>8859.453176033694</v>
      </c>
      <c r="O189" s="530">
        <v>10386.567704131276</v>
      </c>
      <c r="P189" s="530">
        <v>6345.1316380108501</v>
      </c>
      <c r="Q189" s="530">
        <v>4889.292236932878</v>
      </c>
      <c r="R189" s="530">
        <v>2365.4587074435162</v>
      </c>
      <c r="S189" s="530">
        <v>2000.4746517712215</v>
      </c>
      <c r="T189" s="530">
        <v>62274.294890838937</v>
      </c>
      <c r="U189" s="530" t="s">
        <v>61</v>
      </c>
    </row>
    <row r="190" spans="1:21" ht="13.8" x14ac:dyDescent="0.3">
      <c r="A190" s="530" t="str">
        <f t="shared" si="4"/>
        <v>North Wales.2014.Visitor Numbers.Serviced Accommodation</v>
      </c>
      <c r="B190" s="530" t="s">
        <v>220</v>
      </c>
      <c r="C190" s="530" t="str">
        <f t="shared" si="5"/>
        <v>2014.Visitor Numbers.Serviced Accommodation</v>
      </c>
      <c r="D190" s="530" t="s">
        <v>231</v>
      </c>
      <c r="E190" s="530" t="s">
        <v>172</v>
      </c>
      <c r="F190" s="530" t="s">
        <v>43</v>
      </c>
      <c r="G190" s="530" t="s">
        <v>43</v>
      </c>
      <c r="H190" s="530">
        <v>122.3511616153383</v>
      </c>
      <c r="I190" s="530">
        <v>181.66875463662319</v>
      </c>
      <c r="J190" s="530">
        <v>138.60410887220931</v>
      </c>
      <c r="K190" s="530">
        <v>210.86993512849062</v>
      </c>
      <c r="L190" s="530">
        <v>248.54643646728886</v>
      </c>
      <c r="M190" s="530">
        <v>249.77649900599587</v>
      </c>
      <c r="N190" s="530">
        <v>281.85452052991258</v>
      </c>
      <c r="O190" s="530">
        <v>317.91990856442447</v>
      </c>
      <c r="P190" s="530">
        <v>227.19738252739174</v>
      </c>
      <c r="Q190" s="530">
        <v>214.57228555441125</v>
      </c>
      <c r="R190" s="530">
        <v>162.51539994486137</v>
      </c>
      <c r="S190" s="530">
        <v>121.13920411415639</v>
      </c>
      <c r="T190" s="530">
        <v>2477.0155969611042</v>
      </c>
      <c r="U190" s="530" t="s">
        <v>61</v>
      </c>
    </row>
    <row r="191" spans="1:21" ht="13.8" x14ac:dyDescent="0.3">
      <c r="A191" s="530" t="str">
        <f t="shared" si="4"/>
        <v>North Wales.2014.Visitor Numbers.Non-Serviced Accommodation</v>
      </c>
      <c r="B191" s="530" t="s">
        <v>220</v>
      </c>
      <c r="C191" s="530" t="str">
        <f t="shared" si="5"/>
        <v>2014.Visitor Numbers.Non-Serviced Accommodation</v>
      </c>
      <c r="D191" s="530" t="s">
        <v>231</v>
      </c>
      <c r="E191" s="530" t="s">
        <v>172</v>
      </c>
      <c r="F191" s="530" t="s">
        <v>48</v>
      </c>
      <c r="G191" s="530" t="s">
        <v>48</v>
      </c>
      <c r="H191" s="530">
        <v>163.93328382995827</v>
      </c>
      <c r="I191" s="530">
        <v>211.36308510554241</v>
      </c>
      <c r="J191" s="530">
        <v>601.05822194045106</v>
      </c>
      <c r="K191" s="530">
        <v>512.36497408748824</v>
      </c>
      <c r="L191" s="530">
        <v>596.09094755813487</v>
      </c>
      <c r="M191" s="530">
        <v>594.0323617051954</v>
      </c>
      <c r="N191" s="530">
        <v>779.54893088339327</v>
      </c>
      <c r="O191" s="530">
        <v>820.5621670574526</v>
      </c>
      <c r="P191" s="530">
        <v>584.94963037306889</v>
      </c>
      <c r="Q191" s="530">
        <v>413.12692891789771</v>
      </c>
      <c r="R191" s="530">
        <v>281.02370725619494</v>
      </c>
      <c r="S191" s="530">
        <v>163.76385382564007</v>
      </c>
      <c r="T191" s="530">
        <v>5721.8180925404176</v>
      </c>
      <c r="U191" s="530" t="s">
        <v>61</v>
      </c>
    </row>
    <row r="192" spans="1:21" ht="13.8" x14ac:dyDescent="0.3">
      <c r="A192" s="530" t="str">
        <f t="shared" si="4"/>
        <v>North Wales.2014.Visitor Numbers.SFR</v>
      </c>
      <c r="B192" s="530" t="s">
        <v>220</v>
      </c>
      <c r="C192" s="530" t="str">
        <f t="shared" si="5"/>
        <v>2014.Visitor Numbers.SFR</v>
      </c>
      <c r="D192" s="530" t="s">
        <v>231</v>
      </c>
      <c r="E192" s="530" t="s">
        <v>172</v>
      </c>
      <c r="F192" s="530" t="s">
        <v>18</v>
      </c>
      <c r="G192" s="530" t="s">
        <v>18</v>
      </c>
      <c r="H192" s="530">
        <v>141.52500000000001</v>
      </c>
      <c r="I192" s="530">
        <v>56.609999999999985</v>
      </c>
      <c r="J192" s="530">
        <v>62.900000000000006</v>
      </c>
      <c r="K192" s="530">
        <v>119.50999999999999</v>
      </c>
      <c r="L192" s="530">
        <v>94.35</v>
      </c>
      <c r="M192" s="530">
        <v>76.140450000000001</v>
      </c>
      <c r="N192" s="530">
        <v>103.785</v>
      </c>
      <c r="O192" s="530">
        <v>105.64055</v>
      </c>
      <c r="P192" s="530">
        <v>65.195849999999993</v>
      </c>
      <c r="Q192" s="530">
        <v>66.044999999999987</v>
      </c>
      <c r="R192" s="530">
        <v>54.251249999999992</v>
      </c>
      <c r="S192" s="530">
        <v>122.655</v>
      </c>
      <c r="T192" s="530">
        <v>1068.6081000000001</v>
      </c>
      <c r="U192" s="530" t="s">
        <v>61</v>
      </c>
    </row>
    <row r="193" spans="1:21" ht="13.8" x14ac:dyDescent="0.3">
      <c r="A193" s="530" t="str">
        <f t="shared" si="4"/>
        <v>North Wales.2014.Visitor Numbers.Day Visitor</v>
      </c>
      <c r="B193" s="530" t="s">
        <v>220</v>
      </c>
      <c r="C193" s="530" t="str">
        <f t="shared" si="5"/>
        <v>2014.Visitor Numbers.Day Visitor</v>
      </c>
      <c r="D193" s="530" t="s">
        <v>231</v>
      </c>
      <c r="E193" s="530" t="s">
        <v>172</v>
      </c>
      <c r="F193" s="530" t="s">
        <v>71</v>
      </c>
      <c r="G193" s="530" t="s">
        <v>71</v>
      </c>
      <c r="H193" s="530">
        <v>498.08939481042034</v>
      </c>
      <c r="I193" s="530">
        <v>759.41660236235157</v>
      </c>
      <c r="J193" s="530">
        <v>1073.7277436333604</v>
      </c>
      <c r="K193" s="530">
        <v>1957.9256595334693</v>
      </c>
      <c r="L193" s="530">
        <v>2009.2646083370123</v>
      </c>
      <c r="M193" s="530">
        <v>1951.2593422039047</v>
      </c>
      <c r="N193" s="530">
        <v>2578.3820200181472</v>
      </c>
      <c r="O193" s="530">
        <v>3323.9151856729768</v>
      </c>
      <c r="P193" s="530">
        <v>1723.1617931524636</v>
      </c>
      <c r="Q193" s="530">
        <v>1486.0176686983073</v>
      </c>
      <c r="R193" s="530">
        <v>712.21807012253907</v>
      </c>
      <c r="S193" s="530">
        <v>566.92540839935214</v>
      </c>
      <c r="T193" s="530">
        <v>18640.303496944307</v>
      </c>
      <c r="U193" s="530" t="s">
        <v>61</v>
      </c>
    </row>
    <row r="194" spans="1:21" ht="13.8" x14ac:dyDescent="0.3">
      <c r="A194" s="530" t="str">
        <f t="shared" si="4"/>
        <v>North Wales.2014.Visitor Numbers.Total</v>
      </c>
      <c r="B194" s="530" t="s">
        <v>220</v>
      </c>
      <c r="C194" s="530" t="str">
        <f t="shared" si="5"/>
        <v>2014.Visitor Numbers.Total</v>
      </c>
      <c r="D194" s="530" t="s">
        <v>231</v>
      </c>
      <c r="E194" s="530" t="s">
        <v>172</v>
      </c>
      <c r="F194" s="530" t="s">
        <v>54</v>
      </c>
      <c r="G194" s="530" t="s">
        <v>54</v>
      </c>
      <c r="H194" s="530">
        <v>925.89884025571689</v>
      </c>
      <c r="I194" s="530">
        <v>1209.0584421045173</v>
      </c>
      <c r="J194" s="530">
        <v>1876.2900744460208</v>
      </c>
      <c r="K194" s="530">
        <v>2800.6705687494482</v>
      </c>
      <c r="L194" s="530">
        <v>2948.2519923624359</v>
      </c>
      <c r="M194" s="530">
        <v>2871.2086529150961</v>
      </c>
      <c r="N194" s="530">
        <v>3743.5704714314529</v>
      </c>
      <c r="O194" s="530">
        <v>4568.0378112948538</v>
      </c>
      <c r="P194" s="530">
        <v>2600.5046560529245</v>
      </c>
      <c r="Q194" s="530">
        <v>2179.7618831706159</v>
      </c>
      <c r="R194" s="530">
        <v>1210.0084273235955</v>
      </c>
      <c r="S194" s="530">
        <v>974.48346633914866</v>
      </c>
      <c r="T194" s="530">
        <v>27907.745286445832</v>
      </c>
      <c r="U194" s="530" t="s">
        <v>61</v>
      </c>
    </row>
    <row r="195" spans="1:21" ht="13.8" x14ac:dyDescent="0.3">
      <c r="A195" s="530" t="str">
        <f t="shared" si="4"/>
        <v>North Wales.2014.Vehicle Days.Serviced Accommodation</v>
      </c>
      <c r="B195" s="530" t="s">
        <v>220</v>
      </c>
      <c r="C195" s="530" t="str">
        <f t="shared" si="5"/>
        <v>2014.Vehicle Days.Serviced Accommodation</v>
      </c>
      <c r="D195" s="530" t="s">
        <v>231</v>
      </c>
      <c r="E195" s="530" t="s">
        <v>21</v>
      </c>
      <c r="F195" s="530" t="s">
        <v>43</v>
      </c>
      <c r="G195" s="530" t="s">
        <v>43</v>
      </c>
      <c r="H195" s="530">
        <v>49.790143536568785</v>
      </c>
      <c r="I195" s="530">
        <v>93.291321543089566</v>
      </c>
      <c r="J195" s="530">
        <v>102.92031862408564</v>
      </c>
      <c r="K195" s="530">
        <v>100.44644435994653</v>
      </c>
      <c r="L195" s="530">
        <v>130.54601570744242</v>
      </c>
      <c r="M195" s="530">
        <v>124.10711928294663</v>
      </c>
      <c r="N195" s="530">
        <v>127.53600172315386</v>
      </c>
      <c r="O195" s="530">
        <v>144.45037812762348</v>
      </c>
      <c r="P195" s="530">
        <v>116.48443089521109</v>
      </c>
      <c r="Q195" s="530">
        <v>113.54563445832926</v>
      </c>
      <c r="R195" s="530">
        <v>86.194230562619012</v>
      </c>
      <c r="S195" s="530">
        <v>52.037821039029367</v>
      </c>
      <c r="T195" s="530">
        <v>1241.3498598600456</v>
      </c>
      <c r="U195" s="530" t="s">
        <v>61</v>
      </c>
    </row>
    <row r="196" spans="1:21" ht="13.8" x14ac:dyDescent="0.3">
      <c r="A196" s="530" t="str">
        <f t="shared" si="4"/>
        <v>North Wales.2014.Vehicle Days.Non-Serviced Accommodation</v>
      </c>
      <c r="B196" s="530" t="s">
        <v>220</v>
      </c>
      <c r="C196" s="530" t="str">
        <f t="shared" si="5"/>
        <v>2014.Vehicle Days.Non-Serviced Accommodation</v>
      </c>
      <c r="D196" s="530" t="s">
        <v>231</v>
      </c>
      <c r="E196" s="530" t="s">
        <v>21</v>
      </c>
      <c r="F196" s="530" t="s">
        <v>48</v>
      </c>
      <c r="G196" s="530" t="s">
        <v>48</v>
      </c>
      <c r="H196" s="530">
        <v>141.17228895942128</v>
      </c>
      <c r="I196" s="530">
        <v>247.06196342835153</v>
      </c>
      <c r="J196" s="530">
        <v>770.43629635822629</v>
      </c>
      <c r="K196" s="530">
        <v>840.49924395070934</v>
      </c>
      <c r="L196" s="530">
        <v>1092.0012743118959</v>
      </c>
      <c r="M196" s="530">
        <v>1094.3226893585204</v>
      </c>
      <c r="N196" s="530">
        <v>1415.689266580104</v>
      </c>
      <c r="O196" s="530">
        <v>1590.7568614328527</v>
      </c>
      <c r="P196" s="530">
        <v>1054.531367283322</v>
      </c>
      <c r="Q196" s="530">
        <v>734.29890038110852</v>
      </c>
      <c r="R196" s="530">
        <v>324.14196047505334</v>
      </c>
      <c r="S196" s="530">
        <v>217.96544558566319</v>
      </c>
      <c r="T196" s="530">
        <v>9522.8775581052287</v>
      </c>
      <c r="U196" s="530" t="s">
        <v>61</v>
      </c>
    </row>
    <row r="197" spans="1:21" ht="13.8" x14ac:dyDescent="0.3">
      <c r="A197" s="530" t="str">
        <f t="shared" si="4"/>
        <v>North Wales.2014.Vehicle Days.SFR</v>
      </c>
      <c r="B197" s="530" t="s">
        <v>220</v>
      </c>
      <c r="C197" s="530" t="str">
        <f t="shared" si="5"/>
        <v>2014.Vehicle Days.SFR</v>
      </c>
      <c r="D197" s="530" t="s">
        <v>231</v>
      </c>
      <c r="E197" s="530" t="s">
        <v>21</v>
      </c>
      <c r="F197" s="530" t="s">
        <v>18</v>
      </c>
      <c r="G197" s="530" t="s">
        <v>18</v>
      </c>
      <c r="H197" s="530">
        <v>108.89710227272727</v>
      </c>
      <c r="I197" s="530">
        <v>36.589426363636356</v>
      </c>
      <c r="J197" s="530">
        <v>41.622892424242423</v>
      </c>
      <c r="K197" s="530">
        <v>99.314157272727272</v>
      </c>
      <c r="L197" s="530">
        <v>63.886300000000006</v>
      </c>
      <c r="M197" s="530">
        <v>49.212778459090913</v>
      </c>
      <c r="N197" s="530">
        <v>79.857875000000007</v>
      </c>
      <c r="O197" s="530">
        <v>84.537062487878771</v>
      </c>
      <c r="P197" s="530">
        <v>43.543450118636372</v>
      </c>
      <c r="Q197" s="530">
        <v>43.500762454545452</v>
      </c>
      <c r="R197" s="530">
        <v>33.8960380340909</v>
      </c>
      <c r="S197" s="530">
        <v>98.152588181818203</v>
      </c>
      <c r="T197" s="530">
        <v>783.01043306939391</v>
      </c>
      <c r="U197" s="530" t="s">
        <v>61</v>
      </c>
    </row>
    <row r="198" spans="1:21" ht="13.8" x14ac:dyDescent="0.3">
      <c r="A198" s="530" t="str">
        <f t="shared" si="4"/>
        <v>North Wales.2014.Vehicle Days.Day Visitor</v>
      </c>
      <c r="B198" s="530" t="s">
        <v>220</v>
      </c>
      <c r="C198" s="530" t="str">
        <f t="shared" si="5"/>
        <v>2014.Vehicle Days.Day Visitor</v>
      </c>
      <c r="D198" s="530" t="s">
        <v>231</v>
      </c>
      <c r="E198" s="530" t="s">
        <v>21</v>
      </c>
      <c r="F198" s="530" t="s">
        <v>71</v>
      </c>
      <c r="G198" s="530" t="s">
        <v>71</v>
      </c>
      <c r="H198" s="530">
        <v>109.57966685829248</v>
      </c>
      <c r="I198" s="530">
        <v>190.93903145110554</v>
      </c>
      <c r="J198" s="530">
        <v>269.96583268495925</v>
      </c>
      <c r="K198" s="530">
        <v>430.7436450973633</v>
      </c>
      <c r="L198" s="530">
        <v>442.03821383414277</v>
      </c>
      <c r="M198" s="530">
        <v>490.60234889698182</v>
      </c>
      <c r="N198" s="530">
        <v>567.24404440399246</v>
      </c>
      <c r="O198" s="530">
        <v>731.26134084805506</v>
      </c>
      <c r="P198" s="530">
        <v>379.09559449354202</v>
      </c>
      <c r="Q198" s="530">
        <v>373.6272995584315</v>
      </c>
      <c r="R198" s="530">
        <v>179.07197191652409</v>
      </c>
      <c r="S198" s="530">
        <v>124.72358984785748</v>
      </c>
      <c r="T198" s="530">
        <v>4288.8925798912478</v>
      </c>
      <c r="U198" s="530" t="s">
        <v>61</v>
      </c>
    </row>
    <row r="199" spans="1:21" ht="13.8" x14ac:dyDescent="0.3">
      <c r="A199" s="530" t="str">
        <f t="shared" si="4"/>
        <v>North Wales.2014.Vehicle Days.Total</v>
      </c>
      <c r="B199" s="530" t="s">
        <v>220</v>
      </c>
      <c r="C199" s="530" t="str">
        <f t="shared" si="5"/>
        <v>2014.Vehicle Days.Total</v>
      </c>
      <c r="D199" s="530" t="s">
        <v>231</v>
      </c>
      <c r="E199" s="530" t="s">
        <v>21</v>
      </c>
      <c r="F199" s="530" t="s">
        <v>54</v>
      </c>
      <c r="G199" s="530" t="s">
        <v>54</v>
      </c>
      <c r="H199" s="530">
        <v>409.43920162700977</v>
      </c>
      <c r="I199" s="530">
        <v>567.88174278618305</v>
      </c>
      <c r="J199" s="530">
        <v>1184.9453400915136</v>
      </c>
      <c r="K199" s="530">
        <v>1471.0034906807464</v>
      </c>
      <c r="L199" s="530">
        <v>1728.4718038534811</v>
      </c>
      <c r="M199" s="530">
        <v>1758.2449359975399</v>
      </c>
      <c r="N199" s="530">
        <v>2190.3271877072507</v>
      </c>
      <c r="O199" s="530">
        <v>2551.0056428964099</v>
      </c>
      <c r="P199" s="530">
        <v>1593.6548427907114</v>
      </c>
      <c r="Q199" s="530">
        <v>1264.9725968524149</v>
      </c>
      <c r="R199" s="530">
        <v>623.30420098828733</v>
      </c>
      <c r="S199" s="530">
        <v>492.87944465436829</v>
      </c>
      <c r="T199" s="530">
        <v>15836.130430925916</v>
      </c>
      <c r="U199" s="530" t="s">
        <v>61</v>
      </c>
    </row>
    <row r="200" spans="1:21" ht="13.8" x14ac:dyDescent="0.3">
      <c r="A200" s="530" t="str">
        <f t="shared" si="4"/>
        <v>North Wales.2014.Vehicle Numbers.Serviced Accommodation</v>
      </c>
      <c r="B200" s="530" t="s">
        <v>220</v>
      </c>
      <c r="C200" s="530" t="str">
        <f t="shared" si="5"/>
        <v>2014.Vehicle Numbers.Serviced Accommodation</v>
      </c>
      <c r="D200" s="530" t="s">
        <v>231</v>
      </c>
      <c r="E200" s="530" t="s">
        <v>22</v>
      </c>
      <c r="F200" s="530" t="s">
        <v>43</v>
      </c>
      <c r="G200" s="530" t="s">
        <v>43</v>
      </c>
      <c r="H200" s="530">
        <v>31.820039887680053</v>
      </c>
      <c r="I200" s="530">
        <v>62.550417729867412</v>
      </c>
      <c r="J200" s="530">
        <v>49.928759565541682</v>
      </c>
      <c r="K200" s="530">
        <v>55.264405315161369</v>
      </c>
      <c r="L200" s="530">
        <v>69.416663864944638</v>
      </c>
      <c r="M200" s="530">
        <v>69.762835283384803</v>
      </c>
      <c r="N200" s="530">
        <v>73.841936386039706</v>
      </c>
      <c r="O200" s="530">
        <v>83.314242309067936</v>
      </c>
      <c r="P200" s="530">
        <v>59.576815177504542</v>
      </c>
      <c r="Q200" s="530">
        <v>65.943286352494098</v>
      </c>
      <c r="R200" s="530">
        <v>49.616728545598683</v>
      </c>
      <c r="S200" s="530">
        <v>31.941716782235183</v>
      </c>
      <c r="T200" s="530">
        <v>702.97784719952006</v>
      </c>
      <c r="U200" s="530" t="s">
        <v>61</v>
      </c>
    </row>
    <row r="201" spans="1:21" ht="13.8" x14ac:dyDescent="0.3">
      <c r="A201" s="530" t="str">
        <f t="shared" ref="A201:A264" si="6">B201&amp;"."&amp;D201&amp;"."&amp;E201&amp;"."&amp;F201</f>
        <v>North Wales.2014.Vehicle Numbers.Non-Serviced Accommodation</v>
      </c>
      <c r="B201" s="530" t="s">
        <v>220</v>
      </c>
      <c r="C201" s="530" t="str">
        <f t="shared" ref="C201:C264" si="7">D201&amp;"."&amp;E201&amp;"."&amp;F201</f>
        <v>2014.Vehicle Numbers.Non-Serviced Accommodation</v>
      </c>
      <c r="D201" s="530" t="s">
        <v>231</v>
      </c>
      <c r="E201" s="530" t="s">
        <v>22</v>
      </c>
      <c r="F201" s="530" t="s">
        <v>48</v>
      </c>
      <c r="G201" s="530" t="s">
        <v>48</v>
      </c>
      <c r="H201" s="530">
        <v>41.521261458653321</v>
      </c>
      <c r="I201" s="530">
        <v>61.765490857087883</v>
      </c>
      <c r="J201" s="530">
        <v>160.50756174129714</v>
      </c>
      <c r="K201" s="530">
        <v>131.32800686729831</v>
      </c>
      <c r="L201" s="530">
        <v>158.26105424810086</v>
      </c>
      <c r="M201" s="530">
        <v>156.33181276550289</v>
      </c>
      <c r="N201" s="530">
        <v>199.39285444790201</v>
      </c>
      <c r="O201" s="530">
        <v>209.31011334642798</v>
      </c>
      <c r="P201" s="530">
        <v>152.83063293961189</v>
      </c>
      <c r="Q201" s="530">
        <v>104.89984291158693</v>
      </c>
      <c r="R201" s="530">
        <v>72.03154677223408</v>
      </c>
      <c r="S201" s="530">
        <v>38.922400997439858</v>
      </c>
      <c r="T201" s="530">
        <v>1487.102579353143</v>
      </c>
      <c r="U201" s="530" t="s">
        <v>61</v>
      </c>
    </row>
    <row r="202" spans="1:21" ht="13.8" x14ac:dyDescent="0.3">
      <c r="A202" s="530" t="str">
        <f t="shared" si="6"/>
        <v>North Wales.2014.Vehicle Numbers.SFR</v>
      </c>
      <c r="B202" s="530" t="s">
        <v>220</v>
      </c>
      <c r="C202" s="530" t="str">
        <f t="shared" si="7"/>
        <v>2014.Vehicle Numbers.SFR</v>
      </c>
      <c r="D202" s="530" t="s">
        <v>231</v>
      </c>
      <c r="E202" s="530" t="s">
        <v>22</v>
      </c>
      <c r="F202" s="530" t="s">
        <v>18</v>
      </c>
      <c r="G202" s="530" t="s">
        <v>18</v>
      </c>
      <c r="H202" s="530">
        <v>43.558840909090904</v>
      </c>
      <c r="I202" s="530">
        <v>17.423536363636359</v>
      </c>
      <c r="J202" s="530">
        <v>19.359484848484851</v>
      </c>
      <c r="K202" s="530">
        <v>36.783021212121206</v>
      </c>
      <c r="L202" s="530">
        <v>29.03922727272727</v>
      </c>
      <c r="M202" s="530">
        <v>23.434656409090909</v>
      </c>
      <c r="N202" s="530">
        <v>31.943149999999996</v>
      </c>
      <c r="O202" s="530">
        <v>32.514254803030298</v>
      </c>
      <c r="P202" s="530">
        <v>20.066106045454546</v>
      </c>
      <c r="Q202" s="530">
        <v>20.327459090909088</v>
      </c>
      <c r="R202" s="530">
        <v>16.697555681818177</v>
      </c>
      <c r="S202" s="530">
        <v>37.750995454545453</v>
      </c>
      <c r="T202" s="530">
        <v>328.89828809090909</v>
      </c>
      <c r="U202" s="530" t="s">
        <v>61</v>
      </c>
    </row>
    <row r="203" spans="1:21" ht="13.8" x14ac:dyDescent="0.3">
      <c r="A203" s="530" t="str">
        <f t="shared" si="6"/>
        <v>North Wales.2014.Vehicle Numbers.Day Visitor</v>
      </c>
      <c r="B203" s="530" t="s">
        <v>220</v>
      </c>
      <c r="C203" s="530" t="str">
        <f t="shared" si="7"/>
        <v>2014.Vehicle Numbers.Day Visitor</v>
      </c>
      <c r="D203" s="530" t="s">
        <v>231</v>
      </c>
      <c r="E203" s="530" t="s">
        <v>22</v>
      </c>
      <c r="F203" s="530" t="s">
        <v>71</v>
      </c>
      <c r="G203" s="530" t="s">
        <v>71</v>
      </c>
      <c r="H203" s="530">
        <v>109.57966685829248</v>
      </c>
      <c r="I203" s="530">
        <v>190.93903145110554</v>
      </c>
      <c r="J203" s="530">
        <v>269.96583268495925</v>
      </c>
      <c r="K203" s="530">
        <v>430.7436450973633</v>
      </c>
      <c r="L203" s="530">
        <v>442.03821383414277</v>
      </c>
      <c r="M203" s="530">
        <v>490.60234889698182</v>
      </c>
      <c r="N203" s="530">
        <v>567.24404440399246</v>
      </c>
      <c r="O203" s="530">
        <v>731.26134084805506</v>
      </c>
      <c r="P203" s="530">
        <v>379.09559449354202</v>
      </c>
      <c r="Q203" s="530">
        <v>373.6272995584315</v>
      </c>
      <c r="R203" s="530">
        <v>179.07197191652409</v>
      </c>
      <c r="S203" s="530">
        <v>124.72358984785748</v>
      </c>
      <c r="T203" s="530">
        <v>4288.8925798912478</v>
      </c>
      <c r="U203" s="530" t="s">
        <v>61</v>
      </c>
    </row>
    <row r="204" spans="1:21" ht="13.8" x14ac:dyDescent="0.3">
      <c r="A204" s="530" t="str">
        <f t="shared" si="6"/>
        <v>North Wales.2014.Vehicle Numbers.Total</v>
      </c>
      <c r="B204" s="530" t="s">
        <v>220</v>
      </c>
      <c r="C204" s="530" t="str">
        <f t="shared" si="7"/>
        <v>2014.Vehicle Numbers.Total</v>
      </c>
      <c r="D204" s="530" t="s">
        <v>231</v>
      </c>
      <c r="E204" s="530" t="s">
        <v>22</v>
      </c>
      <c r="F204" s="530" t="s">
        <v>54</v>
      </c>
      <c r="G204" s="530" t="s">
        <v>54</v>
      </c>
      <c r="H204" s="530">
        <v>226.47980911371675</v>
      </c>
      <c r="I204" s="530">
        <v>332.67847640169714</v>
      </c>
      <c r="J204" s="530">
        <v>499.7616388402829</v>
      </c>
      <c r="K204" s="530">
        <v>654.11907849194404</v>
      </c>
      <c r="L204" s="530">
        <v>698.75515921991553</v>
      </c>
      <c r="M204" s="530">
        <v>740.13165335496046</v>
      </c>
      <c r="N204" s="530">
        <v>872.42198523793411</v>
      </c>
      <c r="O204" s="530">
        <v>1056.3999513065814</v>
      </c>
      <c r="P204" s="530">
        <v>611.56914865611293</v>
      </c>
      <c r="Q204" s="530">
        <v>564.79788791342162</v>
      </c>
      <c r="R204" s="530">
        <v>317.41780291617505</v>
      </c>
      <c r="S204" s="530">
        <v>233.33870308207798</v>
      </c>
      <c r="T204" s="530">
        <v>6807.8712945348207</v>
      </c>
      <c r="U204" s="530" t="s">
        <v>61</v>
      </c>
    </row>
    <row r="205" spans="1:21" ht="13.8" x14ac:dyDescent="0.3">
      <c r="A205" s="530" t="str">
        <f t="shared" si="6"/>
        <v>North Wales.2014.Accommodation.Serviced Accommodation</v>
      </c>
      <c r="B205" s="530" t="s">
        <v>220</v>
      </c>
      <c r="C205" s="530" t="str">
        <f t="shared" si="7"/>
        <v>2014.Accommodation.Serviced Accommodation</v>
      </c>
      <c r="D205" s="530" t="s">
        <v>231</v>
      </c>
      <c r="E205" s="530" t="s">
        <v>23</v>
      </c>
      <c r="F205" s="530" t="s">
        <v>43</v>
      </c>
      <c r="G205" s="530" t="s">
        <v>43</v>
      </c>
      <c r="H205" s="530">
        <v>23933</v>
      </c>
      <c r="I205" s="530">
        <v>25061</v>
      </c>
      <c r="J205" s="530">
        <v>26646</v>
      </c>
      <c r="K205" s="530">
        <v>27315</v>
      </c>
      <c r="L205" s="530">
        <v>27320</v>
      </c>
      <c r="M205" s="530">
        <v>27337</v>
      </c>
      <c r="N205" s="530">
        <v>27357</v>
      </c>
      <c r="O205" s="530">
        <v>27357</v>
      </c>
      <c r="P205" s="530">
        <v>27327</v>
      </c>
      <c r="Q205" s="530">
        <v>27073</v>
      </c>
      <c r="R205" s="530">
        <v>26157</v>
      </c>
      <c r="S205" s="530">
        <v>24987</v>
      </c>
      <c r="T205" s="530">
        <v>27357</v>
      </c>
      <c r="U205" s="530" t="s">
        <v>58</v>
      </c>
    </row>
    <row r="206" spans="1:21" ht="13.8" x14ac:dyDescent="0.3">
      <c r="A206" s="530" t="str">
        <f t="shared" si="6"/>
        <v>North Wales.2014.Accommodation.Non-Serviced Accommodation</v>
      </c>
      <c r="B206" s="530" t="s">
        <v>220</v>
      </c>
      <c r="C206" s="530" t="str">
        <f t="shared" si="7"/>
        <v>2014.Accommodation.Non-Serviced Accommodation</v>
      </c>
      <c r="D206" s="530" t="s">
        <v>231</v>
      </c>
      <c r="E206" s="530" t="s">
        <v>23</v>
      </c>
      <c r="F206" s="530" t="s">
        <v>48</v>
      </c>
      <c r="G206" s="530" t="s">
        <v>48</v>
      </c>
      <c r="H206" s="530">
        <v>74099.987248451085</v>
      </c>
      <c r="I206" s="530">
        <v>79377.557596408718</v>
      </c>
      <c r="J206" s="530">
        <v>198169.86141512287</v>
      </c>
      <c r="K206" s="530">
        <v>226151.79041027627</v>
      </c>
      <c r="L206" s="530">
        <v>226996.04820541554</v>
      </c>
      <c r="M206" s="530">
        <v>227892.90425464121</v>
      </c>
      <c r="N206" s="530">
        <v>228337</v>
      </c>
      <c r="O206" s="530">
        <v>228337</v>
      </c>
      <c r="P206" s="530">
        <v>226267.98055390263</v>
      </c>
      <c r="Q206" s="530">
        <v>220632.07546365776</v>
      </c>
      <c r="R206" s="530">
        <v>133921.14026769064</v>
      </c>
      <c r="S206" s="530">
        <v>97224.523991061782</v>
      </c>
      <c r="T206" s="530">
        <v>228337</v>
      </c>
      <c r="U206" s="530" t="s">
        <v>58</v>
      </c>
    </row>
    <row r="207" spans="1:21" ht="13.8" x14ac:dyDescent="0.3">
      <c r="A207" s="530" t="str">
        <f t="shared" si="6"/>
        <v>North Wales.2014.Accommodation.Total</v>
      </c>
      <c r="B207" s="530" t="s">
        <v>220</v>
      </c>
      <c r="C207" s="530" t="str">
        <f t="shared" si="7"/>
        <v>2014.Accommodation.Total</v>
      </c>
      <c r="D207" s="530" t="s">
        <v>231</v>
      </c>
      <c r="E207" s="530" t="s">
        <v>23</v>
      </c>
      <c r="F207" s="530" t="s">
        <v>54</v>
      </c>
      <c r="G207" s="530" t="s">
        <v>54</v>
      </c>
      <c r="H207" s="530">
        <v>98032.987248451085</v>
      </c>
      <c r="I207" s="530">
        <v>104438.55759640872</v>
      </c>
      <c r="J207" s="530">
        <v>224815.86141512287</v>
      </c>
      <c r="K207" s="530">
        <v>253466.79041027627</v>
      </c>
      <c r="L207" s="530">
        <v>254316.04820541554</v>
      </c>
      <c r="M207" s="530">
        <v>255229.90425464121</v>
      </c>
      <c r="N207" s="530">
        <v>255694</v>
      </c>
      <c r="O207" s="530">
        <v>255694</v>
      </c>
      <c r="P207" s="530">
        <v>253594.98055390263</v>
      </c>
      <c r="Q207" s="530">
        <v>247705.07546365776</v>
      </c>
      <c r="R207" s="530">
        <v>160078.14026769064</v>
      </c>
      <c r="S207" s="530">
        <v>122211.52399106178</v>
      </c>
      <c r="T207" s="530">
        <v>255694</v>
      </c>
      <c r="U207" s="530" t="s">
        <v>58</v>
      </c>
    </row>
    <row r="208" spans="1:21" ht="13.8" x14ac:dyDescent="0.3">
      <c r="A208" s="530" t="str">
        <f t="shared" si="6"/>
        <v>North Wales.2014.Economic Impact.Total</v>
      </c>
      <c r="B208" s="530" t="s">
        <v>220</v>
      </c>
      <c r="C208" s="530" t="str">
        <f t="shared" si="7"/>
        <v>2014.Economic Impact.Total</v>
      </c>
      <c r="D208" s="530" t="s">
        <v>231</v>
      </c>
      <c r="E208" s="530" t="s">
        <v>17</v>
      </c>
      <c r="F208" s="530" t="s">
        <v>54</v>
      </c>
      <c r="G208" s="530" t="s">
        <v>54</v>
      </c>
      <c r="H208" s="530">
        <v>70854.814634631606</v>
      </c>
      <c r="I208" s="530">
        <v>95399.231482892428</v>
      </c>
      <c r="J208" s="530">
        <v>188435.59424989184</v>
      </c>
      <c r="K208" s="530">
        <v>252123.52715518681</v>
      </c>
      <c r="L208" s="530">
        <v>288280.25563420128</v>
      </c>
      <c r="M208" s="530">
        <v>284123.71696017805</v>
      </c>
      <c r="N208" s="530">
        <v>402187.9687001459</v>
      </c>
      <c r="O208" s="530">
        <v>474535.67219543713</v>
      </c>
      <c r="P208" s="530">
        <v>303889.22352382378</v>
      </c>
      <c r="Q208" s="530">
        <v>204523.54211581376</v>
      </c>
      <c r="R208" s="530">
        <v>104419.10498634104</v>
      </c>
      <c r="S208" s="530">
        <v>90691.192147892871</v>
      </c>
      <c r="T208" s="530">
        <v>2759463.8437864366</v>
      </c>
      <c r="U208" s="530" t="s">
        <v>57</v>
      </c>
    </row>
    <row r="209" spans="1:21" ht="13.8" x14ac:dyDescent="0.3">
      <c r="A209" s="530" t="str">
        <f t="shared" si="6"/>
        <v>North Wales.2015.Economic Impact.Indirect Expenditure</v>
      </c>
      <c r="B209" s="530" t="s">
        <v>220</v>
      </c>
      <c r="C209" s="530" t="str">
        <f t="shared" si="7"/>
        <v>2015.Economic Impact.Indirect Expenditure</v>
      </c>
      <c r="D209" s="530" t="s">
        <v>232</v>
      </c>
      <c r="E209" s="530" t="s">
        <v>17</v>
      </c>
      <c r="F209" s="530" t="s">
        <v>45</v>
      </c>
      <c r="G209" s="530" t="s">
        <v>45</v>
      </c>
      <c r="H209" s="530">
        <v>18128.504071289335</v>
      </c>
      <c r="I209" s="530">
        <v>24134.873200740993</v>
      </c>
      <c r="J209" s="530">
        <v>48213.83801899531</v>
      </c>
      <c r="K209" s="530">
        <v>64403.155211532372</v>
      </c>
      <c r="L209" s="530">
        <v>74772.5211300831</v>
      </c>
      <c r="M209" s="530">
        <v>74041.855657137246</v>
      </c>
      <c r="N209" s="530">
        <v>109763.81132638811</v>
      </c>
      <c r="O209" s="530">
        <v>127499.3492123779</v>
      </c>
      <c r="P209" s="530">
        <v>74113.199792261206</v>
      </c>
      <c r="Q209" s="530">
        <v>55316.623025525725</v>
      </c>
      <c r="R209" s="530">
        <v>29434.846820548606</v>
      </c>
      <c r="S209" s="530">
        <v>21929.772963263033</v>
      </c>
      <c r="T209" s="530">
        <v>721752.35043014295</v>
      </c>
      <c r="U209" s="530" t="s">
        <v>57</v>
      </c>
    </row>
    <row r="210" spans="1:21" ht="13.8" x14ac:dyDescent="0.3">
      <c r="A210" s="530" t="str">
        <f t="shared" si="6"/>
        <v>North Wales.2015.Economic Impact.Direct Revenue</v>
      </c>
      <c r="B210" s="530" t="s">
        <v>220</v>
      </c>
      <c r="C210" s="530" t="str">
        <f t="shared" si="7"/>
        <v>2015.Economic Impact.Direct Revenue</v>
      </c>
      <c r="D210" s="530" t="s">
        <v>232</v>
      </c>
      <c r="E210" s="530" t="s">
        <v>17</v>
      </c>
      <c r="F210" s="530" t="s">
        <v>46</v>
      </c>
      <c r="G210" s="530" t="s">
        <v>46</v>
      </c>
      <c r="H210" s="530">
        <v>46305.541320819713</v>
      </c>
      <c r="I210" s="530">
        <v>61375.296036071384</v>
      </c>
      <c r="J210" s="530">
        <v>120670.02578516974</v>
      </c>
      <c r="K210" s="530">
        <v>159494.78888516437</v>
      </c>
      <c r="L210" s="530">
        <v>184872.81744227849</v>
      </c>
      <c r="M210" s="530">
        <v>182909.29672664922</v>
      </c>
      <c r="N210" s="530">
        <v>271164.41520032485</v>
      </c>
      <c r="O210" s="530">
        <v>314320.70002087794</v>
      </c>
      <c r="P210" s="530">
        <v>182816.60365475243</v>
      </c>
      <c r="Q210" s="530">
        <v>137065.09693813071</v>
      </c>
      <c r="R210" s="530">
        <v>75039.4209294217</v>
      </c>
      <c r="S210" s="530">
        <v>55652.716142587742</v>
      </c>
      <c r="T210" s="530">
        <v>1791686.7190822482</v>
      </c>
      <c r="U210" s="530" t="s">
        <v>57</v>
      </c>
    </row>
    <row r="211" spans="1:21" ht="13.8" x14ac:dyDescent="0.3">
      <c r="A211" s="530" t="str">
        <f t="shared" si="6"/>
        <v>North Wales.2015.Economic Impact.VAT</v>
      </c>
      <c r="B211" s="530" t="s">
        <v>220</v>
      </c>
      <c r="C211" s="530" t="str">
        <f t="shared" si="7"/>
        <v>2015.Economic Impact.VAT</v>
      </c>
      <c r="D211" s="530" t="s">
        <v>232</v>
      </c>
      <c r="E211" s="530" t="s">
        <v>17</v>
      </c>
      <c r="F211" s="530" t="s">
        <v>47</v>
      </c>
      <c r="G211" s="530" t="s">
        <v>47</v>
      </c>
      <c r="H211" s="530">
        <v>9261.1082641639441</v>
      </c>
      <c r="I211" s="530">
        <v>12275.059207214277</v>
      </c>
      <c r="J211" s="530">
        <v>24134.005157033949</v>
      </c>
      <c r="K211" s="530">
        <v>31898.95777703288</v>
      </c>
      <c r="L211" s="530">
        <v>36974.5634884557</v>
      </c>
      <c r="M211" s="530">
        <v>36581.859345329845</v>
      </c>
      <c r="N211" s="530">
        <v>54232.883040064968</v>
      </c>
      <c r="O211" s="530">
        <v>62864.140004175584</v>
      </c>
      <c r="P211" s="530">
        <v>36563.320730950487</v>
      </c>
      <c r="Q211" s="530">
        <v>27413.019387626144</v>
      </c>
      <c r="R211" s="530">
        <v>15007.884185884343</v>
      </c>
      <c r="S211" s="530">
        <v>11130.54322851755</v>
      </c>
      <c r="T211" s="530">
        <v>358337.34381644963</v>
      </c>
      <c r="U211" s="530" t="s">
        <v>57</v>
      </c>
    </row>
    <row r="212" spans="1:21" ht="13.8" x14ac:dyDescent="0.3">
      <c r="A212" s="530" t="str">
        <f t="shared" si="6"/>
        <v>North Wales.2015.Economic Impact.Serviced Accommodation</v>
      </c>
      <c r="B212" s="530" t="s">
        <v>220</v>
      </c>
      <c r="C212" s="530" t="str">
        <f t="shared" si="7"/>
        <v>2015.Economic Impact.Serviced Accommodation</v>
      </c>
      <c r="D212" s="530" t="s">
        <v>232</v>
      </c>
      <c r="E212" s="530" t="s">
        <v>17</v>
      </c>
      <c r="F212" s="530" t="s">
        <v>43</v>
      </c>
      <c r="G212" s="530" t="s">
        <v>43</v>
      </c>
      <c r="H212" s="530">
        <v>18890.469981255959</v>
      </c>
      <c r="I212" s="530">
        <v>28139.747764919513</v>
      </c>
      <c r="J212" s="530">
        <v>29107.202561383281</v>
      </c>
      <c r="K212" s="530">
        <v>37815.743947944844</v>
      </c>
      <c r="L212" s="530">
        <v>43233.199162889861</v>
      </c>
      <c r="M212" s="530">
        <v>44380.225464156058</v>
      </c>
      <c r="N212" s="530">
        <v>67395.653847446782</v>
      </c>
      <c r="O212" s="530">
        <v>72416.320889945273</v>
      </c>
      <c r="P212" s="530">
        <v>51101.543289277703</v>
      </c>
      <c r="Q212" s="530">
        <v>39316.895689521654</v>
      </c>
      <c r="R212" s="530">
        <v>29127.442554544843</v>
      </c>
      <c r="S212" s="530">
        <v>20062.381569990826</v>
      </c>
      <c r="T212" s="530">
        <v>480986.82672327652</v>
      </c>
      <c r="U212" s="530" t="s">
        <v>57</v>
      </c>
    </row>
    <row r="213" spans="1:21" ht="13.8" x14ac:dyDescent="0.3">
      <c r="A213" s="530" t="str">
        <f t="shared" si="6"/>
        <v>North Wales.2015.Economic Impact.Non-Serviced Accommodation</v>
      </c>
      <c r="B213" s="530" t="s">
        <v>220</v>
      </c>
      <c r="C213" s="530" t="str">
        <f t="shared" si="7"/>
        <v>2015.Economic Impact.Non-Serviced Accommodation</v>
      </c>
      <c r="D213" s="530" t="s">
        <v>232</v>
      </c>
      <c r="E213" s="530" t="s">
        <v>17</v>
      </c>
      <c r="F213" s="530" t="s">
        <v>48</v>
      </c>
      <c r="G213" s="530" t="s">
        <v>48</v>
      </c>
      <c r="H213" s="530">
        <v>21759.580982293712</v>
      </c>
      <c r="I213" s="530">
        <v>33002.11510073494</v>
      </c>
      <c r="J213" s="530">
        <v>113711.88321198225</v>
      </c>
      <c r="K213" s="530">
        <v>123390.22783949184</v>
      </c>
      <c r="L213" s="530">
        <v>160147.35786317522</v>
      </c>
      <c r="M213" s="530">
        <v>161665.1222331507</v>
      </c>
      <c r="N213" s="530">
        <v>249773.83653244551</v>
      </c>
      <c r="O213" s="530">
        <v>282087.09630940703</v>
      </c>
      <c r="P213" s="530">
        <v>164337.1399276577</v>
      </c>
      <c r="Q213" s="530">
        <v>113508.43948842357</v>
      </c>
      <c r="R213" s="530">
        <v>57733.640375626317</v>
      </c>
      <c r="S213" s="530">
        <v>34962.943411297238</v>
      </c>
      <c r="T213" s="530">
        <v>1516079.3832756861</v>
      </c>
      <c r="U213" s="530" t="s">
        <v>57</v>
      </c>
    </row>
    <row r="214" spans="1:21" ht="13.8" x14ac:dyDescent="0.3">
      <c r="A214" s="530" t="str">
        <f t="shared" si="6"/>
        <v>North Wales.2015.Economic Impact.SFR</v>
      </c>
      <c r="B214" s="530" t="s">
        <v>220</v>
      </c>
      <c r="C214" s="530" t="str">
        <f t="shared" si="7"/>
        <v>2015.Economic Impact.SFR</v>
      </c>
      <c r="D214" s="530" t="s">
        <v>232</v>
      </c>
      <c r="E214" s="530" t="s">
        <v>17</v>
      </c>
      <c r="F214" s="530" t="s">
        <v>18</v>
      </c>
      <c r="G214" s="530" t="s">
        <v>18</v>
      </c>
      <c r="H214" s="530">
        <v>13315.352564222743</v>
      </c>
      <c r="I214" s="530">
        <v>4473.9584615788417</v>
      </c>
      <c r="J214" s="530">
        <v>5089.4236467695828</v>
      </c>
      <c r="K214" s="530">
        <v>12143.601538571142</v>
      </c>
      <c r="L214" s="530">
        <v>7811.6735043440094</v>
      </c>
      <c r="M214" s="530">
        <v>6017.4741308235416</v>
      </c>
      <c r="N214" s="530">
        <v>9764.5918804300127</v>
      </c>
      <c r="O214" s="530">
        <v>10336.737785278481</v>
      </c>
      <c r="P214" s="530">
        <v>5324.259122526687</v>
      </c>
      <c r="Q214" s="530">
        <v>5319.0395043215121</v>
      </c>
      <c r="R214" s="530">
        <v>4144.6254081570651</v>
      </c>
      <c r="S214" s="530">
        <v>12001.571111219433</v>
      </c>
      <c r="T214" s="530">
        <v>95742.308658243041</v>
      </c>
      <c r="U214" s="530" t="s">
        <v>57</v>
      </c>
    </row>
    <row r="215" spans="1:21" ht="13.8" x14ac:dyDescent="0.3">
      <c r="A215" s="530" t="str">
        <f t="shared" si="6"/>
        <v>North Wales.2015.Economic Impact.Day Visitor</v>
      </c>
      <c r="B215" s="530" t="s">
        <v>220</v>
      </c>
      <c r="C215" s="530" t="str">
        <f t="shared" si="7"/>
        <v>2015.Economic Impact.Day Visitor</v>
      </c>
      <c r="D215" s="530" t="s">
        <v>232</v>
      </c>
      <c r="E215" s="530" t="s">
        <v>17</v>
      </c>
      <c r="F215" s="530" t="s">
        <v>71</v>
      </c>
      <c r="G215" s="530" t="s">
        <v>71</v>
      </c>
      <c r="H215" s="530">
        <v>19729.750128500586</v>
      </c>
      <c r="I215" s="530">
        <v>32169.407116793358</v>
      </c>
      <c r="J215" s="530">
        <v>45109.359541063888</v>
      </c>
      <c r="K215" s="530">
        <v>82447.328547721772</v>
      </c>
      <c r="L215" s="530">
        <v>85427.671530408232</v>
      </c>
      <c r="M215" s="530">
        <v>81470.189900986021</v>
      </c>
      <c r="N215" s="530">
        <v>108227.02730645561</v>
      </c>
      <c r="O215" s="530">
        <v>139844.03425280063</v>
      </c>
      <c r="P215" s="530">
        <v>72730.181838501972</v>
      </c>
      <c r="Q215" s="530">
        <v>61650.364669015828</v>
      </c>
      <c r="R215" s="530">
        <v>28476.443597526428</v>
      </c>
      <c r="S215" s="530">
        <v>21686.136241860822</v>
      </c>
      <c r="T215" s="530">
        <v>778967.89467163512</v>
      </c>
      <c r="U215" s="530" t="s">
        <v>57</v>
      </c>
    </row>
    <row r="216" spans="1:21" ht="13.8" x14ac:dyDescent="0.3">
      <c r="A216" s="530" t="str">
        <f t="shared" si="6"/>
        <v>North Wales.2015.Economic Impact.Accommodation</v>
      </c>
      <c r="B216" s="530" t="s">
        <v>220</v>
      </c>
      <c r="C216" s="530" t="str">
        <f t="shared" si="7"/>
        <v>2015.Economic Impact.Accommodation</v>
      </c>
      <c r="D216" s="530" t="s">
        <v>232</v>
      </c>
      <c r="E216" s="530" t="s">
        <v>17</v>
      </c>
      <c r="F216" s="530" t="s">
        <v>23</v>
      </c>
      <c r="G216" s="530" t="s">
        <v>23</v>
      </c>
      <c r="H216" s="530">
        <v>9499.4842964278887</v>
      </c>
      <c r="I216" s="530">
        <v>14417.026167222759</v>
      </c>
      <c r="J216" s="530">
        <v>21646.311546843219</v>
      </c>
      <c r="K216" s="530">
        <v>24728.777961263208</v>
      </c>
      <c r="L216" s="530">
        <v>29719.173877590551</v>
      </c>
      <c r="M216" s="530">
        <v>31424.14695943765</v>
      </c>
      <c r="N216" s="530">
        <v>62840.488262153536</v>
      </c>
      <c r="O216" s="530">
        <v>70864.567308585581</v>
      </c>
      <c r="P216" s="530">
        <v>47209.085760628295</v>
      </c>
      <c r="Q216" s="530">
        <v>24295.98504367545</v>
      </c>
      <c r="R216" s="530">
        <v>16496.204763448222</v>
      </c>
      <c r="S216" s="530">
        <v>11534.487366297262</v>
      </c>
      <c r="T216" s="530">
        <v>364675.73931357358</v>
      </c>
      <c r="U216" s="530" t="s">
        <v>57</v>
      </c>
    </row>
    <row r="217" spans="1:21" ht="13.8" x14ac:dyDescent="0.3">
      <c r="A217" s="530" t="str">
        <f t="shared" si="6"/>
        <v>North Wales.2015.Economic Impact.Food &amp; Drink</v>
      </c>
      <c r="B217" s="530" t="s">
        <v>220</v>
      </c>
      <c r="C217" s="530" t="str">
        <f t="shared" si="7"/>
        <v>2015.Economic Impact.Food &amp; Drink</v>
      </c>
      <c r="D217" s="530" t="s">
        <v>232</v>
      </c>
      <c r="E217" s="530" t="s">
        <v>17</v>
      </c>
      <c r="F217" s="530" t="s">
        <v>49</v>
      </c>
      <c r="G217" s="530" t="s">
        <v>49</v>
      </c>
      <c r="H217" s="530">
        <v>12491.50174376689</v>
      </c>
      <c r="I217" s="530">
        <v>14535.473010213336</v>
      </c>
      <c r="J217" s="530">
        <v>31930.773115574993</v>
      </c>
      <c r="K217" s="530">
        <v>42681.822243915994</v>
      </c>
      <c r="L217" s="530">
        <v>49158.623378899909</v>
      </c>
      <c r="M217" s="530">
        <v>48371.515696778326</v>
      </c>
      <c r="N217" s="530">
        <v>66729.273530812265</v>
      </c>
      <c r="O217" s="530">
        <v>76700.095026719137</v>
      </c>
      <c r="P217" s="530">
        <v>43782.885832127795</v>
      </c>
      <c r="Q217" s="530">
        <v>36601.174966242121</v>
      </c>
      <c r="R217" s="530">
        <v>19218.978625908247</v>
      </c>
      <c r="S217" s="530">
        <v>14715.919485571874</v>
      </c>
      <c r="T217" s="530">
        <v>456918.03665653087</v>
      </c>
      <c r="U217" s="530" t="s">
        <v>57</v>
      </c>
    </row>
    <row r="218" spans="1:21" ht="13.8" x14ac:dyDescent="0.3">
      <c r="A218" s="530" t="str">
        <f t="shared" si="6"/>
        <v>North Wales.2015.Economic Impact.Recreation</v>
      </c>
      <c r="B218" s="530" t="s">
        <v>220</v>
      </c>
      <c r="C218" s="530" t="str">
        <f t="shared" si="7"/>
        <v>2015.Economic Impact.Recreation</v>
      </c>
      <c r="D218" s="530" t="s">
        <v>232</v>
      </c>
      <c r="E218" s="530" t="s">
        <v>17</v>
      </c>
      <c r="F218" s="530" t="s">
        <v>50</v>
      </c>
      <c r="G218" s="530" t="s">
        <v>50</v>
      </c>
      <c r="H218" s="530">
        <v>3536.4403982325948</v>
      </c>
      <c r="I218" s="530">
        <v>4948.088341242883</v>
      </c>
      <c r="J218" s="530">
        <v>11413.233556511483</v>
      </c>
      <c r="K218" s="530">
        <v>13359.419542539614</v>
      </c>
      <c r="L218" s="530">
        <v>15971.623050076074</v>
      </c>
      <c r="M218" s="530">
        <v>15754.439067250931</v>
      </c>
      <c r="N218" s="530">
        <v>22107.924076512962</v>
      </c>
      <c r="O218" s="530">
        <v>26037.04472109308</v>
      </c>
      <c r="P218" s="530">
        <v>13720.587768570203</v>
      </c>
      <c r="Q218" s="530">
        <v>11320.246479786887</v>
      </c>
      <c r="R218" s="530">
        <v>6606.8744704396695</v>
      </c>
      <c r="S218" s="530">
        <v>4688.9368723000171</v>
      </c>
      <c r="T218" s="530">
        <v>149464.85834455641</v>
      </c>
      <c r="U218" s="530" t="s">
        <v>57</v>
      </c>
    </row>
    <row r="219" spans="1:21" ht="13.8" x14ac:dyDescent="0.3">
      <c r="A219" s="530" t="str">
        <f t="shared" si="6"/>
        <v>North Wales.2015.Economic Impact.Shopping</v>
      </c>
      <c r="B219" s="530" t="s">
        <v>220</v>
      </c>
      <c r="C219" s="530" t="str">
        <f t="shared" si="7"/>
        <v>2015.Economic Impact.Shopping</v>
      </c>
      <c r="D219" s="530" t="s">
        <v>232</v>
      </c>
      <c r="E219" s="530" t="s">
        <v>17</v>
      </c>
      <c r="F219" s="530" t="s">
        <v>51</v>
      </c>
      <c r="G219" s="530" t="s">
        <v>51</v>
      </c>
      <c r="H219" s="530">
        <v>15911.267429548316</v>
      </c>
      <c r="I219" s="530">
        <v>20930.648727679709</v>
      </c>
      <c r="J219" s="530">
        <v>41002.799371944289</v>
      </c>
      <c r="K219" s="530">
        <v>59531.94781200125</v>
      </c>
      <c r="L219" s="530">
        <v>67415.921301233568</v>
      </c>
      <c r="M219" s="530">
        <v>65471.749989838296</v>
      </c>
      <c r="N219" s="530">
        <v>89138.084690279502</v>
      </c>
      <c r="O219" s="530">
        <v>105416.33168771755</v>
      </c>
      <c r="P219" s="530">
        <v>58697.606452710366</v>
      </c>
      <c r="Q219" s="530">
        <v>48806.519925600151</v>
      </c>
      <c r="R219" s="530">
        <v>24284.000171216012</v>
      </c>
      <c r="S219" s="530">
        <v>18650.994740968479</v>
      </c>
      <c r="T219" s="530">
        <v>615257.87230073754</v>
      </c>
      <c r="U219" s="530" t="s">
        <v>57</v>
      </c>
    </row>
    <row r="220" spans="1:21" ht="13.8" x14ac:dyDescent="0.3">
      <c r="A220" s="530" t="str">
        <f t="shared" si="6"/>
        <v>North Wales.2015.Economic Impact.Transport</v>
      </c>
      <c r="B220" s="530" t="s">
        <v>220</v>
      </c>
      <c r="C220" s="530" t="str">
        <f t="shared" si="7"/>
        <v>2015.Economic Impact.Transport</v>
      </c>
      <c r="D220" s="530" t="s">
        <v>232</v>
      </c>
      <c r="E220" s="530" t="s">
        <v>17</v>
      </c>
      <c r="F220" s="530" t="s">
        <v>52</v>
      </c>
      <c r="G220" s="530" t="s">
        <v>52</v>
      </c>
      <c r="H220" s="530">
        <v>4866.8474528440292</v>
      </c>
      <c r="I220" s="530">
        <v>6544.0597897126927</v>
      </c>
      <c r="J220" s="530">
        <v>14676.90819429576</v>
      </c>
      <c r="K220" s="530">
        <v>19192.821325444314</v>
      </c>
      <c r="L220" s="530">
        <v>22607.47583447838</v>
      </c>
      <c r="M220" s="530">
        <v>21887.445013344033</v>
      </c>
      <c r="N220" s="530">
        <v>30348.644640566596</v>
      </c>
      <c r="O220" s="530">
        <v>35302.661276762577</v>
      </c>
      <c r="P220" s="530">
        <v>19406.437840715764</v>
      </c>
      <c r="Q220" s="530">
        <v>16041.170522826111</v>
      </c>
      <c r="R220" s="530">
        <v>8433.3628984095631</v>
      </c>
      <c r="S220" s="530">
        <v>6062.3776774501102</v>
      </c>
      <c r="T220" s="530">
        <v>205370.21246684992</v>
      </c>
      <c r="U220" s="530" t="s">
        <v>57</v>
      </c>
    </row>
    <row r="221" spans="1:21" ht="13.8" x14ac:dyDescent="0.3">
      <c r="A221" s="530" t="str">
        <f t="shared" si="6"/>
        <v>North Wales.2015.Economic Impact.Direct Expenditure</v>
      </c>
      <c r="B221" s="530" t="s">
        <v>220</v>
      </c>
      <c r="C221" s="530" t="str">
        <f t="shared" si="7"/>
        <v>2015.Economic Impact.Direct Expenditure</v>
      </c>
      <c r="D221" s="530" t="s">
        <v>232</v>
      </c>
      <c r="E221" s="530" t="s">
        <v>17</v>
      </c>
      <c r="F221" s="530" t="s">
        <v>44</v>
      </c>
      <c r="G221" s="530" t="s">
        <v>44</v>
      </c>
      <c r="H221" s="530">
        <v>55566.649584983665</v>
      </c>
      <c r="I221" s="530">
        <v>73650.355243285652</v>
      </c>
      <c r="J221" s="530">
        <v>144804.03094220371</v>
      </c>
      <c r="K221" s="530">
        <v>191393.74666219723</v>
      </c>
      <c r="L221" s="530">
        <v>221847.38093073419</v>
      </c>
      <c r="M221" s="530">
        <v>219491.15607197909</v>
      </c>
      <c r="N221" s="530">
        <v>325397.29824038979</v>
      </c>
      <c r="O221" s="530">
        <v>377184.84002505359</v>
      </c>
      <c r="P221" s="530">
        <v>219379.92438570291</v>
      </c>
      <c r="Q221" s="530">
        <v>164478.11632575686</v>
      </c>
      <c r="R221" s="530">
        <v>90047.305115306037</v>
      </c>
      <c r="S221" s="530">
        <v>66783.25937110529</v>
      </c>
      <c r="T221" s="530">
        <v>2150024.0628986978</v>
      </c>
      <c r="U221" s="530" t="s">
        <v>57</v>
      </c>
    </row>
    <row r="222" spans="1:21" ht="13.8" x14ac:dyDescent="0.3">
      <c r="A222" s="530" t="str">
        <f t="shared" si="6"/>
        <v>North Wales.2015.Population.Total</v>
      </c>
      <c r="B222" s="530" t="s">
        <v>220</v>
      </c>
      <c r="C222" s="530" t="str">
        <f t="shared" si="7"/>
        <v>2015.Population.Total</v>
      </c>
      <c r="D222" s="530" t="s">
        <v>232</v>
      </c>
      <c r="E222" s="530" t="s">
        <v>19</v>
      </c>
      <c r="F222" s="530" t="s">
        <v>54</v>
      </c>
      <c r="G222" s="530" t="s">
        <v>54</v>
      </c>
      <c r="H222" s="530">
        <v>694038</v>
      </c>
      <c r="I222" s="530">
        <v>694038</v>
      </c>
      <c r="J222" s="530">
        <v>694038</v>
      </c>
      <c r="K222" s="530">
        <v>694038</v>
      </c>
      <c r="L222" s="530">
        <v>694038</v>
      </c>
      <c r="M222" s="530">
        <v>694038</v>
      </c>
      <c r="N222" s="530">
        <v>694038</v>
      </c>
      <c r="O222" s="530">
        <v>694038</v>
      </c>
      <c r="P222" s="530">
        <v>694038</v>
      </c>
      <c r="Q222" s="530">
        <v>694038</v>
      </c>
      <c r="R222" s="530">
        <v>694038</v>
      </c>
      <c r="S222" s="530">
        <v>694038</v>
      </c>
      <c r="T222" s="530">
        <v>694038</v>
      </c>
      <c r="U222" s="530" t="s">
        <v>60</v>
      </c>
    </row>
    <row r="223" spans="1:21" ht="13.8" x14ac:dyDescent="0.3">
      <c r="A223" s="530" t="str">
        <f t="shared" si="6"/>
        <v>North Wales.2015.Employment.Serviced Accommodation</v>
      </c>
      <c r="B223" s="530" t="s">
        <v>220</v>
      </c>
      <c r="C223" s="530" t="str">
        <f t="shared" si="7"/>
        <v>2015.Employment.Serviced Accommodation</v>
      </c>
      <c r="D223" s="530" t="s">
        <v>232</v>
      </c>
      <c r="E223" s="530" t="s">
        <v>20</v>
      </c>
      <c r="F223" s="530" t="s">
        <v>43</v>
      </c>
      <c r="G223" s="530" t="s">
        <v>43</v>
      </c>
      <c r="H223" s="530">
        <v>5882.168181440773</v>
      </c>
      <c r="I223" s="530">
        <v>6664.4775126867044</v>
      </c>
      <c r="J223" s="530">
        <v>7088.3235672028795</v>
      </c>
      <c r="K223" s="530">
        <v>7747.5008657864209</v>
      </c>
      <c r="L223" s="530">
        <v>8086.3282126288295</v>
      </c>
      <c r="M223" s="530">
        <v>8153.2274635622662</v>
      </c>
      <c r="N223" s="530">
        <v>8531.1272257127202</v>
      </c>
      <c r="O223" s="530">
        <v>8842.282986629285</v>
      </c>
      <c r="P223" s="530">
        <v>7733.3579057632678</v>
      </c>
      <c r="Q223" s="530">
        <v>7783.6763755723732</v>
      </c>
      <c r="R223" s="530">
        <v>6915.0466661265409</v>
      </c>
      <c r="S223" s="530">
        <v>6168.4883307883392</v>
      </c>
      <c r="T223" s="530">
        <v>7466.3337744916998</v>
      </c>
      <c r="U223" s="530" t="s">
        <v>59</v>
      </c>
    </row>
    <row r="224" spans="1:21" ht="13.8" x14ac:dyDescent="0.3">
      <c r="A224" s="530" t="str">
        <f t="shared" si="6"/>
        <v>North Wales.2015.Employment.Non-Serviced Accommodation</v>
      </c>
      <c r="B224" s="530" t="s">
        <v>220</v>
      </c>
      <c r="C224" s="530" t="str">
        <f t="shared" si="7"/>
        <v>2015.Employment.Non-Serviced Accommodation</v>
      </c>
      <c r="D224" s="530" t="s">
        <v>232</v>
      </c>
      <c r="E224" s="530" t="s">
        <v>20</v>
      </c>
      <c r="F224" s="530" t="s">
        <v>48</v>
      </c>
      <c r="G224" s="530" t="s">
        <v>48</v>
      </c>
      <c r="H224" s="530">
        <v>6336.73007374382</v>
      </c>
      <c r="I224" s="530">
        <v>7452.3167505822257</v>
      </c>
      <c r="J224" s="530">
        <v>16909.552952137004</v>
      </c>
      <c r="K224" s="530">
        <v>18396.131024939277</v>
      </c>
      <c r="L224" s="530">
        <v>22413.703701848219</v>
      </c>
      <c r="M224" s="530">
        <v>22341.464180131326</v>
      </c>
      <c r="N224" s="530">
        <v>30042.92229421077</v>
      </c>
      <c r="O224" s="530">
        <v>35274.659829018077</v>
      </c>
      <c r="P224" s="530">
        <v>20760.049844595673</v>
      </c>
      <c r="Q224" s="530">
        <v>17297.535965674295</v>
      </c>
      <c r="R224" s="530">
        <v>10481.026972990354</v>
      </c>
      <c r="S224" s="530">
        <v>7770.5879655716308</v>
      </c>
      <c r="T224" s="530">
        <v>17956.390129620224</v>
      </c>
      <c r="U224" s="530" t="s">
        <v>59</v>
      </c>
    </row>
    <row r="225" spans="1:21" ht="13.8" x14ac:dyDescent="0.3">
      <c r="A225" s="530" t="str">
        <f t="shared" si="6"/>
        <v>North Wales.2015.Employment.SFR</v>
      </c>
      <c r="B225" s="530" t="s">
        <v>220</v>
      </c>
      <c r="C225" s="530" t="str">
        <f t="shared" si="7"/>
        <v>2015.Employment.SFR</v>
      </c>
      <c r="D225" s="530" t="s">
        <v>232</v>
      </c>
      <c r="E225" s="530" t="s">
        <v>20</v>
      </c>
      <c r="F225" s="530" t="s">
        <v>18</v>
      </c>
      <c r="G225" s="530" t="s">
        <v>18</v>
      </c>
      <c r="H225" s="530">
        <v>1740.3547361566016</v>
      </c>
      <c r="I225" s="530">
        <v>584.75919134861806</v>
      </c>
      <c r="J225" s="530">
        <v>665.2022547087455</v>
      </c>
      <c r="K225" s="530">
        <v>1587.2035193748206</v>
      </c>
      <c r="L225" s="530">
        <v>1021.0081118785397</v>
      </c>
      <c r="M225" s="530">
        <v>786.50111236389148</v>
      </c>
      <c r="N225" s="530">
        <v>1276.2601398481745</v>
      </c>
      <c r="O225" s="530">
        <v>1351.0412491333391</v>
      </c>
      <c r="P225" s="530">
        <v>695.8959243265972</v>
      </c>
      <c r="Q225" s="530">
        <v>695.21370527002387</v>
      </c>
      <c r="R225" s="530">
        <v>541.71441754101147</v>
      </c>
      <c r="S225" s="530">
        <v>1568.6397355224835</v>
      </c>
      <c r="T225" s="530">
        <v>1042.8161747894039</v>
      </c>
      <c r="U225" s="530" t="s">
        <v>59</v>
      </c>
    </row>
    <row r="226" spans="1:21" ht="13.8" x14ac:dyDescent="0.3">
      <c r="A226" s="530" t="str">
        <f t="shared" si="6"/>
        <v>North Wales.2015.Employment.Day Visitor</v>
      </c>
      <c r="B226" s="530" t="s">
        <v>220</v>
      </c>
      <c r="C226" s="530" t="str">
        <f t="shared" si="7"/>
        <v>2015.Employment.Day Visitor</v>
      </c>
      <c r="D226" s="530" t="s">
        <v>232</v>
      </c>
      <c r="E226" s="530" t="s">
        <v>20</v>
      </c>
      <c r="F226" s="530" t="s">
        <v>71</v>
      </c>
      <c r="G226" s="530" t="s">
        <v>71</v>
      </c>
      <c r="H226" s="530">
        <v>2390.0646737563507</v>
      </c>
      <c r="I226" s="530">
        <v>3865.669341148483</v>
      </c>
      <c r="J226" s="530">
        <v>5418.1247714782712</v>
      </c>
      <c r="K226" s="530">
        <v>9877.5023717172899</v>
      </c>
      <c r="L226" s="530">
        <v>10225.007059195983</v>
      </c>
      <c r="M226" s="530">
        <v>9760.9005994987456</v>
      </c>
      <c r="N226" s="530">
        <v>12971.955221368864</v>
      </c>
      <c r="O226" s="530">
        <v>16759.73180808136</v>
      </c>
      <c r="P226" s="530">
        <v>8712.3962563094483</v>
      </c>
      <c r="Q226" s="530">
        <v>7411.771979131835</v>
      </c>
      <c r="R226" s="530">
        <v>3439.8205033550125</v>
      </c>
      <c r="S226" s="530">
        <v>2628.2457853033634</v>
      </c>
      <c r="T226" s="530">
        <v>7788.4325308620828</v>
      </c>
      <c r="U226" s="530" t="s">
        <v>59</v>
      </c>
    </row>
    <row r="227" spans="1:21" ht="13.8" x14ac:dyDescent="0.3">
      <c r="A227" s="530" t="str">
        <f t="shared" si="6"/>
        <v>North Wales.2015.Employment.Direct Employment</v>
      </c>
      <c r="B227" s="530" t="s">
        <v>220</v>
      </c>
      <c r="C227" s="530" t="str">
        <f t="shared" si="7"/>
        <v>2015.Employment.Direct Employment</v>
      </c>
      <c r="D227" s="530" t="s">
        <v>232</v>
      </c>
      <c r="E227" s="530" t="s">
        <v>20</v>
      </c>
      <c r="F227" s="530" t="s">
        <v>55</v>
      </c>
      <c r="G227" s="530" t="s">
        <v>55</v>
      </c>
      <c r="H227" s="530">
        <v>16349.317665097547</v>
      </c>
      <c r="I227" s="530">
        <v>18567.222795766033</v>
      </c>
      <c r="J227" s="530">
        <v>30081.203545526896</v>
      </c>
      <c r="K227" s="530">
        <v>37608.337781817805</v>
      </c>
      <c r="L227" s="530">
        <v>41746.047085551581</v>
      </c>
      <c r="M227" s="530">
        <v>41042.093355556237</v>
      </c>
      <c r="N227" s="530">
        <v>52822.264881140523</v>
      </c>
      <c r="O227" s="530">
        <v>62227.715872862063</v>
      </c>
      <c r="P227" s="530">
        <v>37901.699930994982</v>
      </c>
      <c r="Q227" s="530">
        <v>33188.198025648526</v>
      </c>
      <c r="R227" s="530">
        <v>21377.608560012919</v>
      </c>
      <c r="S227" s="530">
        <v>18135.961817185816</v>
      </c>
      <c r="T227" s="530">
        <v>34253.972609763412</v>
      </c>
      <c r="U227" s="530" t="s">
        <v>59</v>
      </c>
    </row>
    <row r="228" spans="1:21" ht="13.8" x14ac:dyDescent="0.3">
      <c r="A228" s="530" t="str">
        <f t="shared" si="6"/>
        <v>North Wales.2015.Employment.Indirect Employment</v>
      </c>
      <c r="B228" s="530" t="s">
        <v>220</v>
      </c>
      <c r="C228" s="530" t="str">
        <f t="shared" si="7"/>
        <v>2015.Employment.Indirect Employment</v>
      </c>
      <c r="D228" s="530" t="s">
        <v>232</v>
      </c>
      <c r="E228" s="530" t="s">
        <v>20</v>
      </c>
      <c r="F228" s="530" t="s">
        <v>53</v>
      </c>
      <c r="G228" s="530" t="s">
        <v>53</v>
      </c>
      <c r="H228" s="530">
        <v>2397.8651242665401</v>
      </c>
      <c r="I228" s="530">
        <v>3192.3301833991864</v>
      </c>
      <c r="J228" s="530">
        <v>6377.2653407117323</v>
      </c>
      <c r="K228" s="530">
        <v>8518.6333724597807</v>
      </c>
      <c r="L228" s="530">
        <v>9890.1939159593003</v>
      </c>
      <c r="M228" s="530">
        <v>9793.5484758174789</v>
      </c>
      <c r="N228" s="530">
        <v>14518.507100812285</v>
      </c>
      <c r="O228" s="530">
        <v>16864.394416703661</v>
      </c>
      <c r="P228" s="530">
        <v>9802.9851956241382</v>
      </c>
      <c r="Q228" s="530">
        <v>7316.7538051402944</v>
      </c>
      <c r="R228" s="530">
        <v>3893.360000999879</v>
      </c>
      <c r="S228" s="530">
        <v>2900.6606151784808</v>
      </c>
      <c r="T228" s="530">
        <v>7955.5414622560629</v>
      </c>
      <c r="U228" s="530" t="s">
        <v>59</v>
      </c>
    </row>
    <row r="229" spans="1:21" ht="13.8" x14ac:dyDescent="0.3">
      <c r="A229" s="530" t="str">
        <f t="shared" si="6"/>
        <v>North Wales.2015.Employment.Total</v>
      </c>
      <c r="B229" s="530" t="s">
        <v>220</v>
      </c>
      <c r="C229" s="530" t="str">
        <f t="shared" si="7"/>
        <v>2015.Employment.Total</v>
      </c>
      <c r="D229" s="530" t="s">
        <v>232</v>
      </c>
      <c r="E229" s="530" t="s">
        <v>20</v>
      </c>
      <c r="F229" s="530" t="s">
        <v>54</v>
      </c>
      <c r="G229" s="530" t="s">
        <v>54</v>
      </c>
      <c r="H229" s="530">
        <v>18747.182789364088</v>
      </c>
      <c r="I229" s="530">
        <v>21759.552979165219</v>
      </c>
      <c r="J229" s="530">
        <v>36458.468886238632</v>
      </c>
      <c r="K229" s="530">
        <v>46126.971154277584</v>
      </c>
      <c r="L229" s="530">
        <v>51636.241001510869</v>
      </c>
      <c r="M229" s="530">
        <v>50835.641831373709</v>
      </c>
      <c r="N229" s="530">
        <v>67340.771981952814</v>
      </c>
      <c r="O229" s="530">
        <v>79092.110289565724</v>
      </c>
      <c r="P229" s="530">
        <v>47704.685126619122</v>
      </c>
      <c r="Q229" s="530">
        <v>40504.951830788821</v>
      </c>
      <c r="R229" s="530">
        <v>25270.9685610128</v>
      </c>
      <c r="S229" s="530">
        <v>21036.622432364296</v>
      </c>
      <c r="T229" s="530">
        <v>42209.514072019476</v>
      </c>
      <c r="U229" s="530" t="s">
        <v>59</v>
      </c>
    </row>
    <row r="230" spans="1:21" ht="13.8" x14ac:dyDescent="0.3">
      <c r="A230" s="530" t="str">
        <f t="shared" si="6"/>
        <v>North Wales.2015.Employment.Accommodation</v>
      </c>
      <c r="B230" s="530" t="s">
        <v>220</v>
      </c>
      <c r="C230" s="530" t="str">
        <f t="shared" si="7"/>
        <v>2015.Employment.Accommodation</v>
      </c>
      <c r="D230" s="530" t="s">
        <v>232</v>
      </c>
      <c r="E230" s="530" t="s">
        <v>20</v>
      </c>
      <c r="F230" s="530" t="s">
        <v>23</v>
      </c>
      <c r="G230" s="530" t="s">
        <v>23</v>
      </c>
      <c r="H230" s="530">
        <v>8959.9007183908052</v>
      </c>
      <c r="I230" s="530">
        <v>9265.9735633880227</v>
      </c>
      <c r="J230" s="530">
        <v>10425.660632183908</v>
      </c>
      <c r="K230" s="530">
        <v>10904.944216958069</v>
      </c>
      <c r="L230" s="530">
        <v>11033.460856486805</v>
      </c>
      <c r="M230" s="530">
        <v>11004.594133574899</v>
      </c>
      <c r="N230" s="530">
        <v>11509.643961940519</v>
      </c>
      <c r="O230" s="530">
        <v>14024.188921112524</v>
      </c>
      <c r="P230" s="530">
        <v>10968.939743113126</v>
      </c>
      <c r="Q230" s="530">
        <v>10769.968569175575</v>
      </c>
      <c r="R230" s="530">
        <v>9711.7857758620685</v>
      </c>
      <c r="S230" s="530">
        <v>9307.0774425287345</v>
      </c>
      <c r="T230" s="530">
        <v>10657.178211226254</v>
      </c>
      <c r="U230" s="530" t="s">
        <v>59</v>
      </c>
    </row>
    <row r="231" spans="1:21" ht="13.8" x14ac:dyDescent="0.3">
      <c r="A231" s="530" t="str">
        <f t="shared" si="6"/>
        <v>North Wales.2015.Employment.Food &amp; Drink</v>
      </c>
      <c r="B231" s="530" t="s">
        <v>220</v>
      </c>
      <c r="C231" s="530" t="str">
        <f t="shared" si="7"/>
        <v>2015.Employment.Food &amp; Drink</v>
      </c>
      <c r="D231" s="530" t="s">
        <v>232</v>
      </c>
      <c r="E231" s="530" t="s">
        <v>20</v>
      </c>
      <c r="F231" s="530" t="s">
        <v>49</v>
      </c>
      <c r="G231" s="530" t="s">
        <v>49</v>
      </c>
      <c r="H231" s="530">
        <v>3260.9210956579082</v>
      </c>
      <c r="I231" s="530">
        <v>3794.5021780925877</v>
      </c>
      <c r="J231" s="530">
        <v>8335.5655540136613</v>
      </c>
      <c r="K231" s="530">
        <v>11142.139464997217</v>
      </c>
      <c r="L231" s="530">
        <v>12832.91595341975</v>
      </c>
      <c r="M231" s="530">
        <v>12627.440575211886</v>
      </c>
      <c r="N231" s="530">
        <v>17419.754663456042</v>
      </c>
      <c r="O231" s="530">
        <v>20022.649241224979</v>
      </c>
      <c r="P231" s="530">
        <v>11429.573398571476</v>
      </c>
      <c r="Q231" s="530">
        <v>9554.7794029521774</v>
      </c>
      <c r="R231" s="530">
        <v>5017.1367801709657</v>
      </c>
      <c r="S231" s="530">
        <v>3841.6079408906749</v>
      </c>
      <c r="T231" s="530">
        <v>9939.9155207216099</v>
      </c>
      <c r="U231" s="530" t="s">
        <v>59</v>
      </c>
    </row>
    <row r="232" spans="1:21" ht="13.8" x14ac:dyDescent="0.3">
      <c r="A232" s="530" t="str">
        <f t="shared" si="6"/>
        <v>North Wales.2015.Employment.Recreation</v>
      </c>
      <c r="B232" s="530" t="s">
        <v>220</v>
      </c>
      <c r="C232" s="530" t="str">
        <f t="shared" si="7"/>
        <v>2015.Employment.Recreation</v>
      </c>
      <c r="D232" s="530" t="s">
        <v>232</v>
      </c>
      <c r="E232" s="530" t="s">
        <v>20</v>
      </c>
      <c r="F232" s="530" t="s">
        <v>50</v>
      </c>
      <c r="G232" s="530" t="s">
        <v>50</v>
      </c>
      <c r="H232" s="530">
        <v>756.11171013395006</v>
      </c>
      <c r="I232" s="530">
        <v>1057.9303243625452</v>
      </c>
      <c r="J232" s="530">
        <v>2440.216310978954</v>
      </c>
      <c r="K232" s="530">
        <v>2856.3222956492691</v>
      </c>
      <c r="L232" s="530">
        <v>3414.8267348272634</v>
      </c>
      <c r="M232" s="530">
        <v>3368.3915247924238</v>
      </c>
      <c r="N232" s="530">
        <v>4726.8039041059264</v>
      </c>
      <c r="O232" s="530">
        <v>5566.8729552854193</v>
      </c>
      <c r="P232" s="530">
        <v>2933.5421818281848</v>
      </c>
      <c r="Q232" s="530">
        <v>2420.3351282965787</v>
      </c>
      <c r="R232" s="530">
        <v>1412.5885330857243</v>
      </c>
      <c r="S232" s="530">
        <v>1002.5222195167673</v>
      </c>
      <c r="T232" s="530">
        <v>2663.0386519052508</v>
      </c>
      <c r="U232" s="530" t="s">
        <v>59</v>
      </c>
    </row>
    <row r="233" spans="1:21" ht="13.8" x14ac:dyDescent="0.3">
      <c r="A233" s="530" t="str">
        <f t="shared" si="6"/>
        <v>North Wales.2015.Employment.Shopping</v>
      </c>
      <c r="B233" s="530" t="s">
        <v>220</v>
      </c>
      <c r="C233" s="530" t="str">
        <f t="shared" si="7"/>
        <v>2015.Employment.Shopping</v>
      </c>
      <c r="D233" s="530" t="s">
        <v>232</v>
      </c>
      <c r="E233" s="530" t="s">
        <v>20</v>
      </c>
      <c r="F233" s="530" t="s">
        <v>51</v>
      </c>
      <c r="G233" s="530" t="s">
        <v>51</v>
      </c>
      <c r="H233" s="530">
        <v>2941.0410621558867</v>
      </c>
      <c r="I233" s="530">
        <v>3868.8242554046733</v>
      </c>
      <c r="J233" s="530">
        <v>7578.9635960917958</v>
      </c>
      <c r="K233" s="530">
        <v>11003.8941775355</v>
      </c>
      <c r="L233" s="530">
        <v>12461.169021758198</v>
      </c>
      <c r="M233" s="530">
        <v>12101.80810447134</v>
      </c>
      <c r="N233" s="530">
        <v>16476.29696608544</v>
      </c>
      <c r="O233" s="530">
        <v>19485.170586704371</v>
      </c>
      <c r="P233" s="530">
        <v>10849.674395334336</v>
      </c>
      <c r="Q233" s="530">
        <v>9021.4044756454914</v>
      </c>
      <c r="R233" s="530">
        <v>4488.6582400289853</v>
      </c>
      <c r="S233" s="530">
        <v>3447.4526700101446</v>
      </c>
      <c r="T233" s="530">
        <v>9477.0297959355121</v>
      </c>
      <c r="U233" s="530" t="s">
        <v>59</v>
      </c>
    </row>
    <row r="234" spans="1:21" ht="13.8" x14ac:dyDescent="0.3">
      <c r="A234" s="530" t="str">
        <f t="shared" si="6"/>
        <v>North Wales.2015.Employment.Transport</v>
      </c>
      <c r="B234" s="530" t="s">
        <v>220</v>
      </c>
      <c r="C234" s="530" t="str">
        <f t="shared" si="7"/>
        <v>2015.Employment.Transport</v>
      </c>
      <c r="D234" s="530" t="s">
        <v>232</v>
      </c>
      <c r="E234" s="530" t="s">
        <v>20</v>
      </c>
      <c r="F234" s="530" t="s">
        <v>52</v>
      </c>
      <c r="G234" s="530" t="s">
        <v>52</v>
      </c>
      <c r="H234" s="530">
        <v>431.34307875899628</v>
      </c>
      <c r="I234" s="530">
        <v>579.99247451820327</v>
      </c>
      <c r="J234" s="530">
        <v>1300.7974522585803</v>
      </c>
      <c r="K234" s="530">
        <v>1701.0376266777521</v>
      </c>
      <c r="L234" s="530">
        <v>2003.6745190595618</v>
      </c>
      <c r="M234" s="530">
        <v>1939.8590175056834</v>
      </c>
      <c r="N234" s="530">
        <v>2689.7653855525996</v>
      </c>
      <c r="O234" s="530">
        <v>3128.8341685347614</v>
      </c>
      <c r="P234" s="530">
        <v>1719.9702121478617</v>
      </c>
      <c r="Q234" s="530">
        <v>1421.7104495787075</v>
      </c>
      <c r="R234" s="530">
        <v>747.43923086517418</v>
      </c>
      <c r="S234" s="530">
        <v>537.30154423949375</v>
      </c>
      <c r="T234" s="530">
        <v>1516.8104299747813</v>
      </c>
      <c r="U234" s="530" t="s">
        <v>59</v>
      </c>
    </row>
    <row r="235" spans="1:21" ht="13.8" x14ac:dyDescent="0.3">
      <c r="A235" s="530" t="str">
        <f t="shared" si="6"/>
        <v>North Wales.2015.Visitor Days.Serviced Accommodation</v>
      </c>
      <c r="B235" s="530" t="s">
        <v>220</v>
      </c>
      <c r="C235" s="530" t="str">
        <f t="shared" si="7"/>
        <v>2015.Visitor Days.Serviced Accommodation</v>
      </c>
      <c r="D235" s="530" t="s">
        <v>232</v>
      </c>
      <c r="E235" s="530" t="s">
        <v>171</v>
      </c>
      <c r="F235" s="530" t="s">
        <v>43</v>
      </c>
      <c r="G235" s="530" t="s">
        <v>43</v>
      </c>
      <c r="H235" s="530">
        <v>204.13589596167532</v>
      </c>
      <c r="I235" s="530">
        <v>307.21974217713563</v>
      </c>
      <c r="J235" s="530">
        <v>317.55458747789322</v>
      </c>
      <c r="K235" s="530">
        <v>414.14883927639204</v>
      </c>
      <c r="L235" s="530">
        <v>484.42968867269087</v>
      </c>
      <c r="M235" s="530">
        <v>488.5208905612734</v>
      </c>
      <c r="N235" s="530">
        <v>547.11859916320918</v>
      </c>
      <c r="O235" s="530">
        <v>582.5118021573827</v>
      </c>
      <c r="P235" s="530">
        <v>415.1007382026142</v>
      </c>
      <c r="Q235" s="530">
        <v>429.18499667998282</v>
      </c>
      <c r="R235" s="530">
        <v>316.57034626628445</v>
      </c>
      <c r="S235" s="530">
        <v>216.46800791443107</v>
      </c>
      <c r="T235" s="530">
        <v>4722.9641345109649</v>
      </c>
      <c r="U235" s="530" t="s">
        <v>61</v>
      </c>
    </row>
    <row r="236" spans="1:21" ht="13.8" x14ac:dyDescent="0.3">
      <c r="A236" s="530" t="str">
        <f t="shared" si="6"/>
        <v>North Wales.2015.Visitor Days.Non-Serviced Accommodation</v>
      </c>
      <c r="B236" s="530" t="s">
        <v>220</v>
      </c>
      <c r="C236" s="530" t="str">
        <f t="shared" si="7"/>
        <v>2015.Visitor Days.Non-Serviced Accommodation</v>
      </c>
      <c r="D236" s="530" t="s">
        <v>232</v>
      </c>
      <c r="E236" s="530" t="s">
        <v>171</v>
      </c>
      <c r="F236" s="530" t="s">
        <v>48</v>
      </c>
      <c r="G236" s="530" t="s">
        <v>48</v>
      </c>
      <c r="H236" s="530">
        <v>544.75624251401337</v>
      </c>
      <c r="I236" s="530">
        <v>765.43799844320438</v>
      </c>
      <c r="J236" s="530">
        <v>2833.9755988501611</v>
      </c>
      <c r="K236" s="530">
        <v>3195.5732158046544</v>
      </c>
      <c r="L236" s="530">
        <v>4124.2191718891008</v>
      </c>
      <c r="M236" s="530">
        <v>4136.3200540210091</v>
      </c>
      <c r="N236" s="530">
        <v>5847.6650884283645</v>
      </c>
      <c r="O236" s="530">
        <v>6515.2286576877323</v>
      </c>
      <c r="P236" s="530">
        <v>3807.510502232944</v>
      </c>
      <c r="Q236" s="530">
        <v>2976.0899722580998</v>
      </c>
      <c r="R236" s="530">
        <v>1450.3868096270246</v>
      </c>
      <c r="S236" s="530">
        <v>842.77213227794186</v>
      </c>
      <c r="T236" s="530">
        <v>37039.93544403425</v>
      </c>
      <c r="U236" s="530" t="s">
        <v>61</v>
      </c>
    </row>
    <row r="237" spans="1:21" ht="13.8" x14ac:dyDescent="0.3">
      <c r="A237" s="530" t="str">
        <f t="shared" si="6"/>
        <v>North Wales.2015.Visitor Days.SFR</v>
      </c>
      <c r="B237" s="530" t="s">
        <v>220</v>
      </c>
      <c r="C237" s="530" t="str">
        <f t="shared" si="7"/>
        <v>2015.Visitor Days.SFR</v>
      </c>
      <c r="D237" s="530" t="s">
        <v>232</v>
      </c>
      <c r="E237" s="530" t="s">
        <v>171</v>
      </c>
      <c r="F237" s="530" t="s">
        <v>18</v>
      </c>
      <c r="G237" s="530" t="s">
        <v>18</v>
      </c>
      <c r="H237" s="530">
        <v>354.9057954545454</v>
      </c>
      <c r="I237" s="530">
        <v>119.24834727272726</v>
      </c>
      <c r="J237" s="530">
        <v>135.65288181818184</v>
      </c>
      <c r="K237" s="530">
        <v>323.67408545454543</v>
      </c>
      <c r="L237" s="530">
        <v>208.2114</v>
      </c>
      <c r="M237" s="530">
        <v>160.3890270818182</v>
      </c>
      <c r="N237" s="530">
        <v>260.26425</v>
      </c>
      <c r="O237" s="530">
        <v>275.51415769090909</v>
      </c>
      <c r="P237" s="530">
        <v>141.91215816272728</v>
      </c>
      <c r="Q237" s="530">
        <v>141.77303509090908</v>
      </c>
      <c r="R237" s="530">
        <v>110.47034393181816</v>
      </c>
      <c r="S237" s="530">
        <v>319.88842363636365</v>
      </c>
      <c r="T237" s="530">
        <v>2551.903905594545</v>
      </c>
      <c r="U237" s="530" t="s">
        <v>61</v>
      </c>
    </row>
    <row r="238" spans="1:21" ht="13.8" x14ac:dyDescent="0.3">
      <c r="A238" s="530" t="str">
        <f t="shared" si="6"/>
        <v>North Wales.2015.Visitor Days.Day Visitor</v>
      </c>
      <c r="B238" s="530" t="s">
        <v>220</v>
      </c>
      <c r="C238" s="530" t="str">
        <f t="shared" si="7"/>
        <v>2015.Visitor Days.Day Visitor</v>
      </c>
      <c r="D238" s="530" t="s">
        <v>232</v>
      </c>
      <c r="E238" s="530" t="s">
        <v>171</v>
      </c>
      <c r="F238" s="530" t="s">
        <v>71</v>
      </c>
      <c r="G238" s="530" t="s">
        <v>71</v>
      </c>
      <c r="H238" s="530">
        <v>537.63848067375443</v>
      </c>
      <c r="I238" s="530">
        <v>818.76109968188439</v>
      </c>
      <c r="J238" s="530">
        <v>1143.5108887217511</v>
      </c>
      <c r="K238" s="530">
        <v>2043.2715098969995</v>
      </c>
      <c r="L238" s="530">
        <v>2099.4966734564582</v>
      </c>
      <c r="M238" s="530">
        <v>2019.9104540661572</v>
      </c>
      <c r="N238" s="530">
        <v>2693.1441422214716</v>
      </c>
      <c r="O238" s="530">
        <v>3476.588531604234</v>
      </c>
      <c r="P238" s="530">
        <v>1800.6903947227079</v>
      </c>
      <c r="Q238" s="530">
        <v>1575.5473937590307</v>
      </c>
      <c r="R238" s="530">
        <v>757.85610208892035</v>
      </c>
      <c r="S238" s="530">
        <v>593.13679377918788</v>
      </c>
      <c r="T238" s="530">
        <v>19559.552464672561</v>
      </c>
      <c r="U238" s="530" t="s">
        <v>61</v>
      </c>
    </row>
    <row r="239" spans="1:21" ht="13.8" x14ac:dyDescent="0.3">
      <c r="A239" s="530" t="str">
        <f t="shared" si="6"/>
        <v>North Wales.2015.Visitor Days.Total</v>
      </c>
      <c r="B239" s="530" t="s">
        <v>220</v>
      </c>
      <c r="C239" s="530" t="str">
        <f t="shared" si="7"/>
        <v>2015.Visitor Days.Total</v>
      </c>
      <c r="D239" s="530" t="s">
        <v>232</v>
      </c>
      <c r="E239" s="530" t="s">
        <v>171</v>
      </c>
      <c r="F239" s="530" t="s">
        <v>54</v>
      </c>
      <c r="G239" s="530" t="s">
        <v>54</v>
      </c>
      <c r="H239" s="530">
        <v>1641.4364146039889</v>
      </c>
      <c r="I239" s="530">
        <v>2010.6671875749516</v>
      </c>
      <c r="J239" s="530">
        <v>4430.6939568679873</v>
      </c>
      <c r="K239" s="530">
        <v>5976.6676504325915</v>
      </c>
      <c r="L239" s="530">
        <v>6916.3569340182503</v>
      </c>
      <c r="M239" s="530">
        <v>6805.1404257302584</v>
      </c>
      <c r="N239" s="530">
        <v>9348.192079813045</v>
      </c>
      <c r="O239" s="530">
        <v>10849.843149140259</v>
      </c>
      <c r="P239" s="530">
        <v>6165.2137933209924</v>
      </c>
      <c r="Q239" s="530">
        <v>5122.5953977880217</v>
      </c>
      <c r="R239" s="530">
        <v>2635.2836019140477</v>
      </c>
      <c r="S239" s="530">
        <v>1972.2653576079247</v>
      </c>
      <c r="T239" s="530">
        <v>63874.355948812321</v>
      </c>
      <c r="U239" s="530" t="s">
        <v>61</v>
      </c>
    </row>
    <row r="240" spans="1:21" ht="13.8" x14ac:dyDescent="0.3">
      <c r="A240" s="530" t="str">
        <f t="shared" si="6"/>
        <v>North Wales.2015.Visitor Numbers.Serviced Accommodation</v>
      </c>
      <c r="B240" s="530" t="s">
        <v>220</v>
      </c>
      <c r="C240" s="530" t="str">
        <f t="shared" si="7"/>
        <v>2015.Visitor Numbers.Serviced Accommodation</v>
      </c>
      <c r="D240" s="530" t="s">
        <v>232</v>
      </c>
      <c r="E240" s="530" t="s">
        <v>172</v>
      </c>
      <c r="F240" s="530" t="s">
        <v>43</v>
      </c>
      <c r="G240" s="530" t="s">
        <v>43</v>
      </c>
      <c r="H240" s="530">
        <v>131.98126511025822</v>
      </c>
      <c r="I240" s="530">
        <v>207.03365124752207</v>
      </c>
      <c r="J240" s="530">
        <v>154.03589007126001</v>
      </c>
      <c r="K240" s="530">
        <v>227.99953332595175</v>
      </c>
      <c r="L240" s="530">
        <v>258.13577037649759</v>
      </c>
      <c r="M240" s="530">
        <v>274.53695880247022</v>
      </c>
      <c r="N240" s="530">
        <v>317.59934565105277</v>
      </c>
      <c r="O240" s="530">
        <v>337.36547196817156</v>
      </c>
      <c r="P240" s="530">
        <v>212.55061024664238</v>
      </c>
      <c r="Q240" s="530">
        <v>248.94799745846277</v>
      </c>
      <c r="R240" s="530">
        <v>185.2636790105368</v>
      </c>
      <c r="S240" s="530">
        <v>133.15960864759361</v>
      </c>
      <c r="T240" s="530">
        <v>2688.6097819164202</v>
      </c>
      <c r="U240" s="530" t="s">
        <v>61</v>
      </c>
    </row>
    <row r="241" spans="1:21" ht="13.8" x14ac:dyDescent="0.3">
      <c r="A241" s="530" t="str">
        <f t="shared" si="6"/>
        <v>North Wales.2015.Visitor Numbers.Non-Serviced Accommodation</v>
      </c>
      <c r="B241" s="530" t="s">
        <v>220</v>
      </c>
      <c r="C241" s="530" t="str">
        <f t="shared" si="7"/>
        <v>2015.Visitor Numbers.Non-Serviced Accommodation</v>
      </c>
      <c r="D241" s="530" t="s">
        <v>232</v>
      </c>
      <c r="E241" s="530" t="s">
        <v>172</v>
      </c>
      <c r="F241" s="530" t="s">
        <v>48</v>
      </c>
      <c r="G241" s="530" t="s">
        <v>48</v>
      </c>
      <c r="H241" s="530">
        <v>160.2224242688275</v>
      </c>
      <c r="I241" s="530">
        <v>191.35949961080109</v>
      </c>
      <c r="J241" s="530">
        <v>590.41158309378341</v>
      </c>
      <c r="K241" s="530">
        <v>499.30831496947724</v>
      </c>
      <c r="L241" s="530">
        <v>597.71292346218843</v>
      </c>
      <c r="M241" s="530">
        <v>590.90286486014418</v>
      </c>
      <c r="N241" s="530">
        <v>823.61480118709358</v>
      </c>
      <c r="O241" s="530">
        <v>857.2669286431227</v>
      </c>
      <c r="P241" s="530">
        <v>551.813116265644</v>
      </c>
      <c r="Q241" s="530">
        <v>425.15571032258572</v>
      </c>
      <c r="R241" s="530">
        <v>322.30817991711655</v>
      </c>
      <c r="S241" s="530">
        <v>150.49502362106108</v>
      </c>
      <c r="T241" s="530">
        <v>5760.5713702218463</v>
      </c>
      <c r="U241" s="530" t="s">
        <v>61</v>
      </c>
    </row>
    <row r="242" spans="1:21" ht="13.8" x14ac:dyDescent="0.3">
      <c r="A242" s="530" t="str">
        <f t="shared" si="6"/>
        <v>North Wales.2015.Visitor Numbers.SFR</v>
      </c>
      <c r="B242" s="530" t="s">
        <v>220</v>
      </c>
      <c r="C242" s="530" t="str">
        <f t="shared" si="7"/>
        <v>2015.Visitor Numbers.SFR</v>
      </c>
      <c r="D242" s="530" t="s">
        <v>232</v>
      </c>
      <c r="E242" s="530" t="s">
        <v>172</v>
      </c>
      <c r="F242" s="530" t="s">
        <v>18</v>
      </c>
      <c r="G242" s="530" t="s">
        <v>18</v>
      </c>
      <c r="H242" s="530">
        <v>141.96231818181815</v>
      </c>
      <c r="I242" s="530">
        <v>56.784927272727259</v>
      </c>
      <c r="J242" s="530">
        <v>63.094363636363639</v>
      </c>
      <c r="K242" s="530">
        <v>119.87929090909088</v>
      </c>
      <c r="L242" s="530">
        <v>94.641545454545451</v>
      </c>
      <c r="M242" s="530">
        <v>76.375727181818178</v>
      </c>
      <c r="N242" s="530">
        <v>104.10570000000001</v>
      </c>
      <c r="O242" s="530">
        <v>105.96698372727272</v>
      </c>
      <c r="P242" s="530">
        <v>65.397307909090898</v>
      </c>
      <c r="Q242" s="530">
        <v>66.249081818181807</v>
      </c>
      <c r="R242" s="530">
        <v>54.418888636363619</v>
      </c>
      <c r="S242" s="530">
        <v>123.03400909090909</v>
      </c>
      <c r="T242" s="530">
        <v>1071.910143818182</v>
      </c>
      <c r="U242" s="530" t="s">
        <v>61</v>
      </c>
    </row>
    <row r="243" spans="1:21" ht="13.8" x14ac:dyDescent="0.3">
      <c r="A243" s="530" t="str">
        <f t="shared" si="6"/>
        <v>North Wales.2015.Visitor Numbers.Day Visitor</v>
      </c>
      <c r="B243" s="530" t="s">
        <v>220</v>
      </c>
      <c r="C243" s="530" t="str">
        <f t="shared" si="7"/>
        <v>2015.Visitor Numbers.Day Visitor</v>
      </c>
      <c r="D243" s="530" t="s">
        <v>232</v>
      </c>
      <c r="E243" s="530" t="s">
        <v>172</v>
      </c>
      <c r="F243" s="530" t="s">
        <v>71</v>
      </c>
      <c r="G243" s="530" t="s">
        <v>71</v>
      </c>
      <c r="H243" s="530">
        <v>537.63848067375443</v>
      </c>
      <c r="I243" s="530">
        <v>818.76109968188439</v>
      </c>
      <c r="J243" s="530">
        <v>1143.5108887217511</v>
      </c>
      <c r="K243" s="530">
        <v>2043.2715098969995</v>
      </c>
      <c r="L243" s="530">
        <v>2099.4966734564582</v>
      </c>
      <c r="M243" s="530">
        <v>2019.9104540661572</v>
      </c>
      <c r="N243" s="530">
        <v>2693.1441422214716</v>
      </c>
      <c r="O243" s="530">
        <v>3476.588531604234</v>
      </c>
      <c r="P243" s="530">
        <v>1800.6903947227079</v>
      </c>
      <c r="Q243" s="530">
        <v>1575.5473937590307</v>
      </c>
      <c r="R243" s="530">
        <v>757.85610208892035</v>
      </c>
      <c r="S243" s="530">
        <v>593.13679377918788</v>
      </c>
      <c r="T243" s="530">
        <v>19559.552464672561</v>
      </c>
      <c r="U243" s="530" t="s">
        <v>61</v>
      </c>
    </row>
    <row r="244" spans="1:21" ht="13.8" x14ac:dyDescent="0.3">
      <c r="A244" s="530" t="str">
        <f t="shared" si="6"/>
        <v>North Wales.2015.Visitor Numbers.Total</v>
      </c>
      <c r="B244" s="530" t="s">
        <v>220</v>
      </c>
      <c r="C244" s="530" t="str">
        <f t="shared" si="7"/>
        <v>2015.Visitor Numbers.Total</v>
      </c>
      <c r="D244" s="530" t="s">
        <v>232</v>
      </c>
      <c r="E244" s="530" t="s">
        <v>172</v>
      </c>
      <c r="F244" s="530" t="s">
        <v>54</v>
      </c>
      <c r="G244" s="530" t="s">
        <v>54</v>
      </c>
      <c r="H244" s="530">
        <v>971.80448823465804</v>
      </c>
      <c r="I244" s="530">
        <v>1273.9391778129348</v>
      </c>
      <c r="J244" s="530">
        <v>1951.0527255231586</v>
      </c>
      <c r="K244" s="530">
        <v>2890.4586491015198</v>
      </c>
      <c r="L244" s="530">
        <v>3049.98691274969</v>
      </c>
      <c r="M244" s="530">
        <v>2961.7260049105898</v>
      </c>
      <c r="N244" s="530">
        <v>3938.4639890596186</v>
      </c>
      <c r="O244" s="530">
        <v>4777.1879159428008</v>
      </c>
      <c r="P244" s="530">
        <v>2630.4514291440851</v>
      </c>
      <c r="Q244" s="530">
        <v>2315.9001833582611</v>
      </c>
      <c r="R244" s="530">
        <v>1319.8468496529372</v>
      </c>
      <c r="S244" s="530">
        <v>999.82543513875169</v>
      </c>
      <c r="T244" s="530">
        <v>29080.643760629009</v>
      </c>
      <c r="U244" s="530" t="s">
        <v>61</v>
      </c>
    </row>
    <row r="245" spans="1:21" ht="13.8" x14ac:dyDescent="0.3">
      <c r="A245" s="530" t="str">
        <f t="shared" si="6"/>
        <v>North Wales.2015.Vehicle Days.Serviced Accommodation</v>
      </c>
      <c r="B245" s="530" t="s">
        <v>220</v>
      </c>
      <c r="C245" s="530" t="str">
        <f t="shared" si="7"/>
        <v>2015.Vehicle Days.Serviced Accommodation</v>
      </c>
      <c r="D245" s="530" t="s">
        <v>232</v>
      </c>
      <c r="E245" s="530" t="s">
        <v>21</v>
      </c>
      <c r="F245" s="530" t="s">
        <v>43</v>
      </c>
      <c r="G245" s="530" t="s">
        <v>43</v>
      </c>
      <c r="H245" s="530">
        <v>53.155663483066007</v>
      </c>
      <c r="I245" s="530">
        <v>105.90223113209179</v>
      </c>
      <c r="J245" s="530">
        <v>114.56948734930731</v>
      </c>
      <c r="K245" s="530">
        <v>108.72003123784252</v>
      </c>
      <c r="L245" s="530">
        <v>135.25541752560767</v>
      </c>
      <c r="M245" s="530">
        <v>136.96122615307721</v>
      </c>
      <c r="N245" s="530">
        <v>143.40881011675486</v>
      </c>
      <c r="O245" s="530">
        <v>152.77854434081937</v>
      </c>
      <c r="P245" s="530">
        <v>108.78158440223002</v>
      </c>
      <c r="Q245" s="530">
        <v>131.259334409812</v>
      </c>
      <c r="R245" s="530">
        <v>97.519556310432677</v>
      </c>
      <c r="S245" s="530">
        <v>57.060711755556717</v>
      </c>
      <c r="T245" s="530">
        <v>1345.3725982165984</v>
      </c>
      <c r="U245" s="530" t="s">
        <v>61</v>
      </c>
    </row>
    <row r="246" spans="1:21" ht="13.8" x14ac:dyDescent="0.3">
      <c r="A246" s="530" t="str">
        <f t="shared" si="6"/>
        <v>North Wales.2015.Vehicle Days.Non-Serviced Accommodation</v>
      </c>
      <c r="B246" s="530" t="s">
        <v>220</v>
      </c>
      <c r="C246" s="530" t="str">
        <f t="shared" si="7"/>
        <v>2015.Vehicle Days.Non-Serviced Accommodation</v>
      </c>
      <c r="D246" s="530" t="s">
        <v>232</v>
      </c>
      <c r="E246" s="530" t="s">
        <v>21</v>
      </c>
      <c r="F246" s="530" t="s">
        <v>48</v>
      </c>
      <c r="G246" s="530" t="s">
        <v>48</v>
      </c>
      <c r="H246" s="530">
        <v>137.39253275991564</v>
      </c>
      <c r="I246" s="530">
        <v>219.11785313822608</v>
      </c>
      <c r="J246" s="530">
        <v>757.14697723927338</v>
      </c>
      <c r="K246" s="530">
        <v>824.43765958005258</v>
      </c>
      <c r="L246" s="530">
        <v>1099.1383560456488</v>
      </c>
      <c r="M246" s="530">
        <v>1089.5349888677465</v>
      </c>
      <c r="N246" s="530">
        <v>1507.4741674154479</v>
      </c>
      <c r="O246" s="530">
        <v>1670.5077568035772</v>
      </c>
      <c r="P246" s="530">
        <v>986.85318029940072</v>
      </c>
      <c r="Q246" s="530">
        <v>759.10027584008708</v>
      </c>
      <c r="R246" s="530">
        <v>379.57422609755832</v>
      </c>
      <c r="S246" s="530">
        <v>210.41323523287315</v>
      </c>
      <c r="T246" s="530">
        <v>9640.691209319808</v>
      </c>
      <c r="U246" s="530" t="s">
        <v>61</v>
      </c>
    </row>
    <row r="247" spans="1:21" ht="13.8" x14ac:dyDescent="0.3">
      <c r="A247" s="530" t="str">
        <f t="shared" si="6"/>
        <v>North Wales.2015.Vehicle Days.SFR</v>
      </c>
      <c r="B247" s="530" t="s">
        <v>220</v>
      </c>
      <c r="C247" s="530" t="str">
        <f t="shared" si="7"/>
        <v>2015.Vehicle Days.SFR</v>
      </c>
      <c r="D247" s="530" t="s">
        <v>232</v>
      </c>
      <c r="E247" s="530" t="s">
        <v>21</v>
      </c>
      <c r="F247" s="530" t="s">
        <v>18</v>
      </c>
      <c r="G247" s="530" t="s">
        <v>18</v>
      </c>
      <c r="H247" s="530">
        <v>109.23348579545453</v>
      </c>
      <c r="I247" s="530">
        <v>36.702451227272725</v>
      </c>
      <c r="J247" s="530">
        <v>41.751465681818182</v>
      </c>
      <c r="K247" s="530">
        <v>99.620939045454548</v>
      </c>
      <c r="L247" s="530">
        <v>64.083645000000004</v>
      </c>
      <c r="M247" s="530">
        <v>49.364796900681817</v>
      </c>
      <c r="N247" s="530">
        <v>80.104556250000002</v>
      </c>
      <c r="O247" s="530">
        <v>84.798197764090901</v>
      </c>
      <c r="P247" s="530">
        <v>43.677955985522722</v>
      </c>
      <c r="Q247" s="530">
        <v>43.635136459090901</v>
      </c>
      <c r="R247" s="530">
        <v>34.00074301193181</v>
      </c>
      <c r="S247" s="530">
        <v>98.455781863636375</v>
      </c>
      <c r="T247" s="530">
        <v>785.42915498495449</v>
      </c>
      <c r="U247" s="530" t="s">
        <v>61</v>
      </c>
    </row>
    <row r="248" spans="1:21" ht="13.8" x14ac:dyDescent="0.3">
      <c r="A248" s="530" t="str">
        <f t="shared" si="6"/>
        <v>North Wales.2015.Vehicle Days.Day Visitor</v>
      </c>
      <c r="B248" s="530" t="s">
        <v>220</v>
      </c>
      <c r="C248" s="530" t="str">
        <f t="shared" si="7"/>
        <v>2015.Vehicle Days.Day Visitor</v>
      </c>
      <c r="D248" s="530" t="s">
        <v>232</v>
      </c>
      <c r="E248" s="530" t="s">
        <v>21</v>
      </c>
      <c r="F248" s="530" t="s">
        <v>71</v>
      </c>
      <c r="G248" s="530" t="s">
        <v>71</v>
      </c>
      <c r="H248" s="530">
        <v>118.28046574822596</v>
      </c>
      <c r="I248" s="530">
        <v>205.85993363430239</v>
      </c>
      <c r="J248" s="530">
        <v>287.51130916432612</v>
      </c>
      <c r="K248" s="530">
        <v>449.51973217733996</v>
      </c>
      <c r="L248" s="530">
        <v>461.88926816042084</v>
      </c>
      <c r="M248" s="530">
        <v>507.86319987949099</v>
      </c>
      <c r="N248" s="530">
        <v>592.49171128872376</v>
      </c>
      <c r="O248" s="530">
        <v>764.84947695293135</v>
      </c>
      <c r="P248" s="530">
        <v>396.15188683899572</v>
      </c>
      <c r="Q248" s="530">
        <v>396.13763043084202</v>
      </c>
      <c r="R248" s="530">
        <v>190.54667709664284</v>
      </c>
      <c r="S248" s="530">
        <v>130.49009463142136</v>
      </c>
      <c r="T248" s="530">
        <v>4501.5913860036626</v>
      </c>
      <c r="U248" s="530" t="s">
        <v>61</v>
      </c>
    </row>
    <row r="249" spans="1:21" ht="13.8" x14ac:dyDescent="0.3">
      <c r="A249" s="530" t="str">
        <f t="shared" si="6"/>
        <v>North Wales.2015.Vehicle Days.Total</v>
      </c>
      <c r="B249" s="530" t="s">
        <v>220</v>
      </c>
      <c r="C249" s="530" t="str">
        <f t="shared" si="7"/>
        <v>2015.Vehicle Days.Total</v>
      </c>
      <c r="D249" s="530" t="s">
        <v>232</v>
      </c>
      <c r="E249" s="530" t="s">
        <v>21</v>
      </c>
      <c r="F249" s="530" t="s">
        <v>54</v>
      </c>
      <c r="G249" s="530" t="s">
        <v>54</v>
      </c>
      <c r="H249" s="530">
        <v>418.06214778666214</v>
      </c>
      <c r="I249" s="530">
        <v>567.58246913189294</v>
      </c>
      <c r="J249" s="530">
        <v>1200.9792394347246</v>
      </c>
      <c r="K249" s="530">
        <v>1482.2983620406897</v>
      </c>
      <c r="L249" s="530">
        <v>1760.3666867316772</v>
      </c>
      <c r="M249" s="530">
        <v>1783.7242118009965</v>
      </c>
      <c r="N249" s="530">
        <v>2323.4792450709265</v>
      </c>
      <c r="O249" s="530">
        <v>2672.9339758614187</v>
      </c>
      <c r="P249" s="530">
        <v>1535.4646075261494</v>
      </c>
      <c r="Q249" s="530">
        <v>1330.132377139832</v>
      </c>
      <c r="R249" s="530">
        <v>701.64120251656561</v>
      </c>
      <c r="S249" s="530">
        <v>496.41982348348756</v>
      </c>
      <c r="T249" s="530">
        <v>16273.084348525023</v>
      </c>
      <c r="U249" s="530" t="s">
        <v>61</v>
      </c>
    </row>
    <row r="250" spans="1:21" ht="13.8" x14ac:dyDescent="0.3">
      <c r="A250" s="530" t="str">
        <f t="shared" si="6"/>
        <v>North Wales.2015.Vehicle Numbers.Serviced Accommodation</v>
      </c>
      <c r="B250" s="530" t="s">
        <v>220</v>
      </c>
      <c r="C250" s="530" t="str">
        <f t="shared" si="7"/>
        <v>2015.Vehicle Numbers.Serviced Accommodation</v>
      </c>
      <c r="D250" s="530" t="s">
        <v>232</v>
      </c>
      <c r="E250" s="530" t="s">
        <v>22</v>
      </c>
      <c r="F250" s="530" t="s">
        <v>43</v>
      </c>
      <c r="G250" s="530" t="s">
        <v>43</v>
      </c>
      <c r="H250" s="530">
        <v>34.296641535228687</v>
      </c>
      <c r="I250" s="530">
        <v>71.410776098130242</v>
      </c>
      <c r="J250" s="530">
        <v>55.565230407734433</v>
      </c>
      <c r="K250" s="530">
        <v>59.846417458762943</v>
      </c>
      <c r="L250" s="530">
        <v>71.979699791404471</v>
      </c>
      <c r="M250" s="530">
        <v>76.913264704294889</v>
      </c>
      <c r="N250" s="530">
        <v>83.271073614381436</v>
      </c>
      <c r="O250" s="530">
        <v>88.580451318701009</v>
      </c>
      <c r="P250" s="530">
        <v>55.713600373514332</v>
      </c>
      <c r="Q250" s="530">
        <v>76.254420848136618</v>
      </c>
      <c r="R250" s="530">
        <v>56.308695027649364</v>
      </c>
      <c r="S250" s="530">
        <v>35.13952615448413</v>
      </c>
      <c r="T250" s="530">
        <v>765.27979733242262</v>
      </c>
      <c r="U250" s="530" t="s">
        <v>61</v>
      </c>
    </row>
    <row r="251" spans="1:21" ht="13.8" x14ac:dyDescent="0.3">
      <c r="A251" s="530" t="str">
        <f t="shared" si="6"/>
        <v>North Wales.2015.Vehicle Numbers.Non-Serviced Accommodation</v>
      </c>
      <c r="B251" s="530" t="s">
        <v>220</v>
      </c>
      <c r="C251" s="530" t="str">
        <f t="shared" si="7"/>
        <v>2015.Vehicle Numbers.Non-Serviced Accommodation</v>
      </c>
      <c r="D251" s="530" t="s">
        <v>232</v>
      </c>
      <c r="E251" s="530" t="s">
        <v>22</v>
      </c>
      <c r="F251" s="530" t="s">
        <v>48</v>
      </c>
      <c r="G251" s="530" t="s">
        <v>48</v>
      </c>
      <c r="H251" s="530">
        <v>40.409568458798709</v>
      </c>
      <c r="I251" s="530">
        <v>54.77946328455652</v>
      </c>
      <c r="J251" s="530">
        <v>157.7389535915153</v>
      </c>
      <c r="K251" s="530">
        <v>128.81838430938319</v>
      </c>
      <c r="L251" s="530">
        <v>159.29541391965924</v>
      </c>
      <c r="M251" s="530">
        <v>155.64785555253522</v>
      </c>
      <c r="N251" s="530">
        <v>212.32030526978144</v>
      </c>
      <c r="O251" s="530">
        <v>219.80365221099703</v>
      </c>
      <c r="P251" s="530">
        <v>143.02220004339139</v>
      </c>
      <c r="Q251" s="530">
        <v>108.44289654858385</v>
      </c>
      <c r="R251" s="530">
        <v>84.349828021679627</v>
      </c>
      <c r="S251" s="530">
        <v>37.57379200587021</v>
      </c>
      <c r="T251" s="530">
        <v>1502.2023132167519</v>
      </c>
      <c r="U251" s="530" t="s">
        <v>61</v>
      </c>
    </row>
    <row r="252" spans="1:21" ht="13.8" x14ac:dyDescent="0.3">
      <c r="A252" s="530" t="str">
        <f t="shared" si="6"/>
        <v>North Wales.2015.Vehicle Numbers.SFR</v>
      </c>
      <c r="B252" s="530" t="s">
        <v>220</v>
      </c>
      <c r="C252" s="530" t="str">
        <f t="shared" si="7"/>
        <v>2015.Vehicle Numbers.SFR</v>
      </c>
      <c r="D252" s="530" t="s">
        <v>232</v>
      </c>
      <c r="E252" s="530" t="s">
        <v>22</v>
      </c>
      <c r="F252" s="530" t="s">
        <v>18</v>
      </c>
      <c r="G252" s="530" t="s">
        <v>18</v>
      </c>
      <c r="H252" s="530">
        <v>43.693394318181817</v>
      </c>
      <c r="I252" s="530">
        <v>17.477357727272722</v>
      </c>
      <c r="J252" s="530">
        <v>19.419286363636363</v>
      </c>
      <c r="K252" s="530">
        <v>36.896644090909078</v>
      </c>
      <c r="L252" s="530">
        <v>29.12892954545454</v>
      </c>
      <c r="M252" s="530">
        <v>23.507046143181814</v>
      </c>
      <c r="N252" s="530">
        <v>32.041822500000002</v>
      </c>
      <c r="O252" s="530">
        <v>32.614691447727267</v>
      </c>
      <c r="P252" s="530">
        <v>20.128090315909091</v>
      </c>
      <c r="Q252" s="530">
        <v>20.390250681818177</v>
      </c>
      <c r="R252" s="530">
        <v>16.749134488636361</v>
      </c>
      <c r="S252" s="530">
        <v>37.867608409090913</v>
      </c>
      <c r="T252" s="530">
        <v>329.91425603181818</v>
      </c>
      <c r="U252" s="530" t="s">
        <v>61</v>
      </c>
    </row>
    <row r="253" spans="1:21" ht="13.8" x14ac:dyDescent="0.3">
      <c r="A253" s="530" t="str">
        <f t="shared" si="6"/>
        <v>North Wales.2015.Vehicle Numbers.Day Visitor</v>
      </c>
      <c r="B253" s="530" t="s">
        <v>220</v>
      </c>
      <c r="C253" s="530" t="str">
        <f t="shared" si="7"/>
        <v>2015.Vehicle Numbers.Day Visitor</v>
      </c>
      <c r="D253" s="530" t="s">
        <v>232</v>
      </c>
      <c r="E253" s="530" t="s">
        <v>22</v>
      </c>
      <c r="F253" s="530" t="s">
        <v>71</v>
      </c>
      <c r="G253" s="530" t="s">
        <v>71</v>
      </c>
      <c r="H253" s="530">
        <v>118.28046574822596</v>
      </c>
      <c r="I253" s="530">
        <v>205.85993363430239</v>
      </c>
      <c r="J253" s="530">
        <v>287.51130916432612</v>
      </c>
      <c r="K253" s="530">
        <v>449.51973217733996</v>
      </c>
      <c r="L253" s="530">
        <v>461.88926816042084</v>
      </c>
      <c r="M253" s="530">
        <v>507.86319987949099</v>
      </c>
      <c r="N253" s="530">
        <v>592.49171128872376</v>
      </c>
      <c r="O253" s="530">
        <v>764.84947695293135</v>
      </c>
      <c r="P253" s="530">
        <v>396.15188683899572</v>
      </c>
      <c r="Q253" s="530">
        <v>396.13763043084202</v>
      </c>
      <c r="R253" s="530">
        <v>190.54667709664284</v>
      </c>
      <c r="S253" s="530">
        <v>130.49009463142136</v>
      </c>
      <c r="T253" s="530">
        <v>4501.5913860036626</v>
      </c>
      <c r="U253" s="530" t="s">
        <v>61</v>
      </c>
    </row>
    <row r="254" spans="1:21" ht="13.8" x14ac:dyDescent="0.3">
      <c r="A254" s="530" t="str">
        <f t="shared" si="6"/>
        <v>North Wales.2015.Vehicle Numbers.Total</v>
      </c>
      <c r="B254" s="530" t="s">
        <v>220</v>
      </c>
      <c r="C254" s="530" t="str">
        <f t="shared" si="7"/>
        <v>2015.Vehicle Numbers.Total</v>
      </c>
      <c r="D254" s="530" t="s">
        <v>232</v>
      </c>
      <c r="E254" s="530" t="s">
        <v>22</v>
      </c>
      <c r="F254" s="530" t="s">
        <v>54</v>
      </c>
      <c r="G254" s="530" t="s">
        <v>54</v>
      </c>
      <c r="H254" s="530">
        <v>236.68007006043518</v>
      </c>
      <c r="I254" s="530">
        <v>349.52753074426187</v>
      </c>
      <c r="J254" s="530">
        <v>520.23477952721214</v>
      </c>
      <c r="K254" s="530">
        <v>675.08117803639516</v>
      </c>
      <c r="L254" s="530">
        <v>722.2933114169391</v>
      </c>
      <c r="M254" s="530">
        <v>763.93136627950298</v>
      </c>
      <c r="N254" s="530">
        <v>920.12491267288669</v>
      </c>
      <c r="O254" s="530">
        <v>1105.8482719303565</v>
      </c>
      <c r="P254" s="530">
        <v>615.01577757181064</v>
      </c>
      <c r="Q254" s="530">
        <v>601.22519850938068</v>
      </c>
      <c r="R254" s="530">
        <v>347.95433463460813</v>
      </c>
      <c r="S254" s="530">
        <v>241.0710212008666</v>
      </c>
      <c r="T254" s="530">
        <v>7098.987752584655</v>
      </c>
      <c r="U254" s="530" t="s">
        <v>61</v>
      </c>
    </row>
    <row r="255" spans="1:21" ht="13.8" x14ac:dyDescent="0.3">
      <c r="A255" s="530" t="str">
        <f t="shared" si="6"/>
        <v>North Wales.2015.Accommodation.Serviced Accommodation</v>
      </c>
      <c r="B255" s="530" t="s">
        <v>220</v>
      </c>
      <c r="C255" s="530" t="str">
        <f t="shared" si="7"/>
        <v>2015.Accommodation.Serviced Accommodation</v>
      </c>
      <c r="D255" s="530" t="s">
        <v>232</v>
      </c>
      <c r="E255" s="530" t="s">
        <v>23</v>
      </c>
      <c r="F255" s="530" t="s">
        <v>43</v>
      </c>
      <c r="G255" s="530" t="s">
        <v>43</v>
      </c>
      <c r="H255" s="530">
        <v>23933</v>
      </c>
      <c r="I255" s="530">
        <v>25061</v>
      </c>
      <c r="J255" s="530">
        <v>26646</v>
      </c>
      <c r="K255" s="530">
        <v>27315</v>
      </c>
      <c r="L255" s="530">
        <v>27320</v>
      </c>
      <c r="M255" s="530">
        <v>27337</v>
      </c>
      <c r="N255" s="530">
        <v>27357</v>
      </c>
      <c r="O255" s="530">
        <v>27357</v>
      </c>
      <c r="P255" s="530">
        <v>27327</v>
      </c>
      <c r="Q255" s="530">
        <v>27073</v>
      </c>
      <c r="R255" s="530">
        <v>26157</v>
      </c>
      <c r="S255" s="530">
        <v>24987</v>
      </c>
      <c r="T255" s="530">
        <v>27357</v>
      </c>
      <c r="U255" s="530" t="s">
        <v>58</v>
      </c>
    </row>
    <row r="256" spans="1:21" ht="13.8" x14ac:dyDescent="0.3">
      <c r="A256" s="530" t="str">
        <f t="shared" si="6"/>
        <v>North Wales.2015.Accommodation.Non-Serviced Accommodation</v>
      </c>
      <c r="B256" s="530" t="s">
        <v>220</v>
      </c>
      <c r="C256" s="530" t="str">
        <f t="shared" si="7"/>
        <v>2015.Accommodation.Non-Serviced Accommodation</v>
      </c>
      <c r="D256" s="530" t="s">
        <v>232</v>
      </c>
      <c r="E256" s="530" t="s">
        <v>23</v>
      </c>
      <c r="F256" s="530" t="s">
        <v>48</v>
      </c>
      <c r="G256" s="530" t="s">
        <v>48</v>
      </c>
      <c r="H256" s="530">
        <v>74099.987248451085</v>
      </c>
      <c r="I256" s="530">
        <v>79377.557596408718</v>
      </c>
      <c r="J256" s="530">
        <v>198169.86141512287</v>
      </c>
      <c r="K256" s="530">
        <v>226151.79041027627</v>
      </c>
      <c r="L256" s="530">
        <v>226996.04820541554</v>
      </c>
      <c r="M256" s="530">
        <v>227892.90425464121</v>
      </c>
      <c r="N256" s="530">
        <v>228337</v>
      </c>
      <c r="O256" s="530">
        <v>228337</v>
      </c>
      <c r="P256" s="530">
        <v>226267.98055390263</v>
      </c>
      <c r="Q256" s="530">
        <v>220632.07546365776</v>
      </c>
      <c r="R256" s="530">
        <v>133921.14026769064</v>
      </c>
      <c r="S256" s="530">
        <v>97224.523991061782</v>
      </c>
      <c r="T256" s="530">
        <v>228337</v>
      </c>
      <c r="U256" s="530" t="s">
        <v>58</v>
      </c>
    </row>
    <row r="257" spans="1:21" ht="13.8" x14ac:dyDescent="0.3">
      <c r="A257" s="530" t="str">
        <f t="shared" si="6"/>
        <v>North Wales.2015.Accommodation.Total</v>
      </c>
      <c r="B257" s="530" t="s">
        <v>220</v>
      </c>
      <c r="C257" s="530" t="str">
        <f t="shared" si="7"/>
        <v>2015.Accommodation.Total</v>
      </c>
      <c r="D257" s="530" t="s">
        <v>232</v>
      </c>
      <c r="E257" s="530" t="s">
        <v>23</v>
      </c>
      <c r="F257" s="530" t="s">
        <v>54</v>
      </c>
      <c r="G257" s="530" t="s">
        <v>54</v>
      </c>
      <c r="H257" s="530">
        <v>98032.987248451085</v>
      </c>
      <c r="I257" s="530">
        <v>104438.55759640872</v>
      </c>
      <c r="J257" s="530">
        <v>224815.86141512287</v>
      </c>
      <c r="K257" s="530">
        <v>253466.79041027627</v>
      </c>
      <c r="L257" s="530">
        <v>254316.04820541554</v>
      </c>
      <c r="M257" s="530">
        <v>255229.90425464121</v>
      </c>
      <c r="N257" s="530">
        <v>255694</v>
      </c>
      <c r="O257" s="530">
        <v>255694</v>
      </c>
      <c r="P257" s="530">
        <v>253594.98055390263</v>
      </c>
      <c r="Q257" s="530">
        <v>247705.07546365776</v>
      </c>
      <c r="R257" s="530">
        <v>160078.14026769064</v>
      </c>
      <c r="S257" s="530">
        <v>122211.52399106178</v>
      </c>
      <c r="T257" s="530">
        <v>255694</v>
      </c>
      <c r="U257" s="530" t="s">
        <v>58</v>
      </c>
    </row>
    <row r="258" spans="1:21" ht="13.8" x14ac:dyDescent="0.3">
      <c r="A258" s="530" t="str">
        <f t="shared" si="6"/>
        <v>North Wales.2015.Economic Impact.Total</v>
      </c>
      <c r="B258" s="530" t="s">
        <v>220</v>
      </c>
      <c r="C258" s="530" t="str">
        <f t="shared" si="7"/>
        <v>2015.Economic Impact.Total</v>
      </c>
      <c r="D258" s="530" t="s">
        <v>232</v>
      </c>
      <c r="E258" s="530" t="s">
        <v>17</v>
      </c>
      <c r="F258" s="530" t="s">
        <v>54</v>
      </c>
      <c r="G258" s="530" t="s">
        <v>54</v>
      </c>
      <c r="H258" s="530">
        <v>73695.153656273018</v>
      </c>
      <c r="I258" s="530">
        <v>97785.228444026638</v>
      </c>
      <c r="J258" s="530">
        <v>193017.86896119901</v>
      </c>
      <c r="K258" s="530">
        <v>255796.90187372957</v>
      </c>
      <c r="L258" s="530">
        <v>296619.90206081729</v>
      </c>
      <c r="M258" s="530">
        <v>293533.01172911632</v>
      </c>
      <c r="N258" s="530">
        <v>435161.10956677794</v>
      </c>
      <c r="O258" s="530">
        <v>504684.18923743145</v>
      </c>
      <c r="P258" s="530">
        <v>293493.12417796405</v>
      </c>
      <c r="Q258" s="530">
        <v>219794.73935128259</v>
      </c>
      <c r="R258" s="530">
        <v>119482.15193585464</v>
      </c>
      <c r="S258" s="530">
        <v>88713.032334368327</v>
      </c>
      <c r="T258" s="530">
        <v>2871776.4133288409</v>
      </c>
      <c r="U258" s="530" t="s">
        <v>57</v>
      </c>
    </row>
    <row r="259" spans="1:21" ht="13.8" x14ac:dyDescent="0.3">
      <c r="A259" s="530" t="str">
        <f t="shared" si="6"/>
        <v>North Wales.2016.Economic Impact.Indirect Expenditure</v>
      </c>
      <c r="B259" s="530" t="s">
        <v>220</v>
      </c>
      <c r="C259" s="530" t="str">
        <f t="shared" si="7"/>
        <v>2016.Economic Impact.Indirect Expenditure</v>
      </c>
      <c r="D259" s="530" t="s">
        <v>233</v>
      </c>
      <c r="E259" s="530" t="s">
        <v>17</v>
      </c>
      <c r="F259" s="530" t="s">
        <v>45</v>
      </c>
      <c r="G259" s="530" t="s">
        <v>45</v>
      </c>
      <c r="H259" s="530">
        <v>18198.967481506035</v>
      </c>
      <c r="I259" s="530">
        <v>23869.034789698682</v>
      </c>
      <c r="J259" s="530">
        <v>58935.183193789555</v>
      </c>
      <c r="K259" s="530">
        <v>62966.45118738235</v>
      </c>
      <c r="L259" s="530">
        <v>68778.33652533729</v>
      </c>
      <c r="M259" s="530">
        <v>81402.228280456009</v>
      </c>
      <c r="N259" s="530">
        <v>110772.28973634883</v>
      </c>
      <c r="O259" s="530">
        <v>125087.53571116395</v>
      </c>
      <c r="P259" s="530">
        <v>79877.151321599129</v>
      </c>
      <c r="Q259" s="530">
        <v>56197.058108257872</v>
      </c>
      <c r="R259" s="530">
        <v>32480.590104420189</v>
      </c>
      <c r="S259" s="530">
        <v>25404.505337540573</v>
      </c>
      <c r="T259" s="530">
        <v>743969.33177750045</v>
      </c>
      <c r="U259" s="530" t="s">
        <v>57</v>
      </c>
    </row>
    <row r="260" spans="1:21" ht="13.8" x14ac:dyDescent="0.3">
      <c r="A260" s="530" t="str">
        <f t="shared" si="6"/>
        <v>North Wales.2016.Economic Impact.Direct Revenue</v>
      </c>
      <c r="B260" s="530" t="s">
        <v>220</v>
      </c>
      <c r="C260" s="530" t="str">
        <f t="shared" si="7"/>
        <v>2016.Economic Impact.Direct Revenue</v>
      </c>
      <c r="D260" s="530" t="s">
        <v>233</v>
      </c>
      <c r="E260" s="530" t="s">
        <v>17</v>
      </c>
      <c r="F260" s="530" t="s">
        <v>46</v>
      </c>
      <c r="G260" s="530" t="s">
        <v>46</v>
      </c>
      <c r="H260" s="530">
        <v>46719.510528205843</v>
      </c>
      <c r="I260" s="530">
        <v>60408.522594339098</v>
      </c>
      <c r="J260" s="530">
        <v>146377.93874970957</v>
      </c>
      <c r="K260" s="530">
        <v>156884.56552934053</v>
      </c>
      <c r="L260" s="530">
        <v>171382.12464345153</v>
      </c>
      <c r="M260" s="530">
        <v>201507.51284829641</v>
      </c>
      <c r="N260" s="530">
        <v>273869.76587368618</v>
      </c>
      <c r="O260" s="530">
        <v>308334.81707907713</v>
      </c>
      <c r="P260" s="530">
        <v>198676.05768903915</v>
      </c>
      <c r="Q260" s="530">
        <v>137847.4338606144</v>
      </c>
      <c r="R260" s="530">
        <v>82357.950160491018</v>
      </c>
      <c r="S260" s="530">
        <v>64813.204493632235</v>
      </c>
      <c r="T260" s="530">
        <v>1849179.4040498829</v>
      </c>
      <c r="U260" s="530" t="s">
        <v>57</v>
      </c>
    </row>
    <row r="261" spans="1:21" ht="13.8" x14ac:dyDescent="0.3">
      <c r="A261" s="530" t="str">
        <f t="shared" si="6"/>
        <v>North Wales.2016.Economic Impact.VAT</v>
      </c>
      <c r="B261" s="530" t="s">
        <v>220</v>
      </c>
      <c r="C261" s="530" t="str">
        <f t="shared" si="7"/>
        <v>2016.Economic Impact.VAT</v>
      </c>
      <c r="D261" s="530" t="s">
        <v>233</v>
      </c>
      <c r="E261" s="530" t="s">
        <v>17</v>
      </c>
      <c r="F261" s="530" t="s">
        <v>47</v>
      </c>
      <c r="G261" s="530" t="s">
        <v>47</v>
      </c>
      <c r="H261" s="530">
        <v>9343.9021056411711</v>
      </c>
      <c r="I261" s="530">
        <v>12081.70451886782</v>
      </c>
      <c r="J261" s="530">
        <v>29275.587749941918</v>
      </c>
      <c r="K261" s="530">
        <v>31376.913105868109</v>
      </c>
      <c r="L261" s="530">
        <v>34276.424928690314</v>
      </c>
      <c r="M261" s="530">
        <v>40301.502569659278</v>
      </c>
      <c r="N261" s="530">
        <v>54773.953174737231</v>
      </c>
      <c r="O261" s="530">
        <v>61666.963415815429</v>
      </c>
      <c r="P261" s="530">
        <v>39735.211537807823</v>
      </c>
      <c r="Q261" s="530">
        <v>27569.486772122884</v>
      </c>
      <c r="R261" s="530">
        <v>16471.590032098204</v>
      </c>
      <c r="S261" s="530">
        <v>12962.640898726448</v>
      </c>
      <c r="T261" s="530">
        <v>369835.8808099766</v>
      </c>
      <c r="U261" s="530" t="s">
        <v>57</v>
      </c>
    </row>
    <row r="262" spans="1:21" ht="13.8" x14ac:dyDescent="0.3">
      <c r="A262" s="530" t="str">
        <f t="shared" si="6"/>
        <v>North Wales.2016.Economic Impact.Serviced Accommodation</v>
      </c>
      <c r="B262" s="530" t="s">
        <v>220</v>
      </c>
      <c r="C262" s="530" t="str">
        <f t="shared" si="7"/>
        <v>2016.Economic Impact.Serviced Accommodation</v>
      </c>
      <c r="D262" s="530" t="s">
        <v>233</v>
      </c>
      <c r="E262" s="530" t="s">
        <v>17</v>
      </c>
      <c r="F262" s="530" t="s">
        <v>43</v>
      </c>
      <c r="G262" s="530" t="s">
        <v>43</v>
      </c>
      <c r="H262" s="530">
        <v>20005.939157884131</v>
      </c>
      <c r="I262" s="530">
        <v>26360.334150917981</v>
      </c>
      <c r="J262" s="530">
        <v>28489.54748026163</v>
      </c>
      <c r="K262" s="530">
        <v>39121.582444789165</v>
      </c>
      <c r="L262" s="530">
        <v>46986.291794785509</v>
      </c>
      <c r="M262" s="530">
        <v>45530.176705965299</v>
      </c>
      <c r="N262" s="530">
        <v>65671.742522617089</v>
      </c>
      <c r="O262" s="530">
        <v>75500.326093093987</v>
      </c>
      <c r="P262" s="530">
        <v>62783.249196107477</v>
      </c>
      <c r="Q262" s="530">
        <v>33508.48685630838</v>
      </c>
      <c r="R262" s="530">
        <v>30867.324920483326</v>
      </c>
      <c r="S262" s="530">
        <v>24748.988985740016</v>
      </c>
      <c r="T262" s="530">
        <v>499573.99030895391</v>
      </c>
      <c r="U262" s="530" t="s">
        <v>57</v>
      </c>
    </row>
    <row r="263" spans="1:21" ht="13.8" x14ac:dyDescent="0.3">
      <c r="A263" s="530" t="str">
        <f t="shared" si="6"/>
        <v>North Wales.2016.Economic Impact.Non-Serviced Accommodation</v>
      </c>
      <c r="B263" s="530" t="s">
        <v>220</v>
      </c>
      <c r="C263" s="530" t="str">
        <f t="shared" si="7"/>
        <v>2016.Economic Impact.Non-Serviced Accommodation</v>
      </c>
      <c r="D263" s="530" t="s">
        <v>233</v>
      </c>
      <c r="E263" s="530" t="s">
        <v>17</v>
      </c>
      <c r="F263" s="530" t="s">
        <v>48</v>
      </c>
      <c r="G263" s="530" t="s">
        <v>48</v>
      </c>
      <c r="H263" s="530">
        <v>21355.336763048501</v>
      </c>
      <c r="I263" s="530">
        <v>34380.750489791644</v>
      </c>
      <c r="J263" s="530">
        <v>142615.58727419632</v>
      </c>
      <c r="K263" s="530">
        <v>128039.60641504897</v>
      </c>
      <c r="L263" s="530">
        <v>138533.16203765964</v>
      </c>
      <c r="M263" s="530">
        <v>185659.35540058831</v>
      </c>
      <c r="N263" s="530">
        <v>252170.14050525709</v>
      </c>
      <c r="O263" s="530">
        <v>260970.63732989627</v>
      </c>
      <c r="P263" s="530">
        <v>175773.62819471152</v>
      </c>
      <c r="Q263" s="530">
        <v>121797.90604331715</v>
      </c>
      <c r="R263" s="530">
        <v>67548.703703017687</v>
      </c>
      <c r="S263" s="530">
        <v>43535.477703553064</v>
      </c>
      <c r="T263" s="530">
        <v>1572380.2918600861</v>
      </c>
      <c r="U263" s="530" t="s">
        <v>57</v>
      </c>
    </row>
    <row r="264" spans="1:21" ht="13.8" x14ac:dyDescent="0.3">
      <c r="A264" s="530" t="str">
        <f t="shared" si="6"/>
        <v>North Wales.2016.Economic Impact.SFR</v>
      </c>
      <c r="B264" s="530" t="s">
        <v>220</v>
      </c>
      <c r="C264" s="530" t="str">
        <f t="shared" si="7"/>
        <v>2016.Economic Impact.SFR</v>
      </c>
      <c r="D264" s="530" t="s">
        <v>233</v>
      </c>
      <c r="E264" s="530" t="s">
        <v>17</v>
      </c>
      <c r="F264" s="530" t="s">
        <v>18</v>
      </c>
      <c r="G264" s="530" t="s">
        <v>18</v>
      </c>
      <c r="H264" s="530">
        <v>13500.709933734741</v>
      </c>
      <c r="I264" s="530">
        <v>4536.2385377348728</v>
      </c>
      <c r="J264" s="530">
        <v>5160.2713524497231</v>
      </c>
      <c r="K264" s="530">
        <v>12312.647459566084</v>
      </c>
      <c r="L264" s="530">
        <v>7920.4164944577151</v>
      </c>
      <c r="M264" s="530">
        <v>6101.2408332534051</v>
      </c>
      <c r="N264" s="530">
        <v>9900.5206180721434</v>
      </c>
      <c r="O264" s="530">
        <v>10480.63112313591</v>
      </c>
      <c r="P264" s="530">
        <v>5398.3758731565958</v>
      </c>
      <c r="Q264" s="530">
        <v>5393.0835948625718</v>
      </c>
      <c r="R264" s="530">
        <v>4202.3209787071673</v>
      </c>
      <c r="S264" s="530">
        <v>12168.639886939582</v>
      </c>
      <c r="T264" s="530">
        <v>97075.096686070508</v>
      </c>
      <c r="U264" s="530" t="s">
        <v>57</v>
      </c>
    </row>
    <row r="265" spans="1:21" ht="13.8" x14ac:dyDescent="0.3">
      <c r="A265" s="530" t="str">
        <f t="shared" ref="A265:A328" si="8">B265&amp;"."&amp;D265&amp;"."&amp;E265&amp;"."&amp;F265</f>
        <v>North Wales.2016.Economic Impact.Day Visitor</v>
      </c>
      <c r="B265" s="530" t="s">
        <v>220</v>
      </c>
      <c r="C265" s="530" t="str">
        <f t="shared" ref="C265:C328" si="9">D265&amp;"."&amp;E265&amp;"."&amp;F265</f>
        <v>2016.Economic Impact.Day Visitor</v>
      </c>
      <c r="D265" s="530" t="s">
        <v>233</v>
      </c>
      <c r="E265" s="530" t="s">
        <v>17</v>
      </c>
      <c r="F265" s="530" t="s">
        <v>71</v>
      </c>
      <c r="G265" s="530" t="s">
        <v>71</v>
      </c>
      <c r="H265" s="530">
        <v>19400.394260685676</v>
      </c>
      <c r="I265" s="530">
        <v>31081.938724461099</v>
      </c>
      <c r="J265" s="530">
        <v>58323.303586533373</v>
      </c>
      <c r="K265" s="530">
        <v>71754.093503186756</v>
      </c>
      <c r="L265" s="530">
        <v>80997.015770576283</v>
      </c>
      <c r="M265" s="530">
        <v>85920.470758604672</v>
      </c>
      <c r="N265" s="530">
        <v>111673.60513882586</v>
      </c>
      <c r="O265" s="530">
        <v>148137.72165993036</v>
      </c>
      <c r="P265" s="530">
        <v>74333.167284470503</v>
      </c>
      <c r="Q265" s="530">
        <v>60914.502246507051</v>
      </c>
      <c r="R265" s="530">
        <v>28691.780694801211</v>
      </c>
      <c r="S265" s="530">
        <v>22727.244153666579</v>
      </c>
      <c r="T265" s="530">
        <v>793955.23778224934</v>
      </c>
      <c r="U265" s="530" t="s">
        <v>57</v>
      </c>
    </row>
    <row r="266" spans="1:21" ht="13.8" x14ac:dyDescent="0.3">
      <c r="A266" s="530" t="str">
        <f t="shared" si="8"/>
        <v>North Wales.2016.Economic Impact.Accommodation</v>
      </c>
      <c r="B266" s="530" t="s">
        <v>220</v>
      </c>
      <c r="C266" s="530" t="str">
        <f t="shared" si="9"/>
        <v>2016.Economic Impact.Accommodation</v>
      </c>
      <c r="D266" s="530" t="s">
        <v>233</v>
      </c>
      <c r="E266" s="530" t="s">
        <v>17</v>
      </c>
      <c r="F266" s="530" t="s">
        <v>23</v>
      </c>
      <c r="G266" s="530" t="s">
        <v>23</v>
      </c>
      <c r="H266" s="530">
        <v>10055.145561257566</v>
      </c>
      <c r="I266" s="530">
        <v>14069.559331142565</v>
      </c>
      <c r="J266" s="530">
        <v>24618.765675834748</v>
      </c>
      <c r="K266" s="530">
        <v>25893.833881438582</v>
      </c>
      <c r="L266" s="530">
        <v>29173.113034290822</v>
      </c>
      <c r="M266" s="530">
        <v>34657.952255942429</v>
      </c>
      <c r="N266" s="530">
        <v>62948.873534839222</v>
      </c>
      <c r="O266" s="530">
        <v>70094.352445842407</v>
      </c>
      <c r="P266" s="530">
        <v>55377.038694436844</v>
      </c>
      <c r="Q266" s="530">
        <v>23279.886494808361</v>
      </c>
      <c r="R266" s="530">
        <v>18591.114296455053</v>
      </c>
      <c r="S266" s="530">
        <v>14592.344314395497</v>
      </c>
      <c r="T266" s="530">
        <v>383351.97952068411</v>
      </c>
      <c r="U266" s="530" t="s">
        <v>57</v>
      </c>
    </row>
    <row r="267" spans="1:21" ht="13.8" x14ac:dyDescent="0.3">
      <c r="A267" s="530" t="str">
        <f t="shared" si="8"/>
        <v>North Wales.2016.Economic Impact.Food &amp; Drink</v>
      </c>
      <c r="B267" s="530" t="s">
        <v>220</v>
      </c>
      <c r="C267" s="530" t="str">
        <f t="shared" si="9"/>
        <v>2016.Economic Impact.Food &amp; Drink</v>
      </c>
      <c r="D267" s="530" t="s">
        <v>233</v>
      </c>
      <c r="E267" s="530" t="s">
        <v>17</v>
      </c>
      <c r="F267" s="530" t="s">
        <v>49</v>
      </c>
      <c r="G267" s="530" t="s">
        <v>49</v>
      </c>
      <c r="H267" s="530">
        <v>12437.502028030716</v>
      </c>
      <c r="I267" s="530">
        <v>14327.732744632751</v>
      </c>
      <c r="J267" s="530">
        <v>38294.02502917419</v>
      </c>
      <c r="K267" s="530">
        <v>42214.041066620055</v>
      </c>
      <c r="L267" s="530">
        <v>45881.468897242223</v>
      </c>
      <c r="M267" s="530">
        <v>53165.90833469139</v>
      </c>
      <c r="N267" s="530">
        <v>67677.620373024693</v>
      </c>
      <c r="O267" s="530">
        <v>75074.981391073175</v>
      </c>
      <c r="P267" s="530">
        <v>46363.823095178952</v>
      </c>
      <c r="Q267" s="530">
        <v>37057.828874018429</v>
      </c>
      <c r="R267" s="530">
        <v>20833.631689286281</v>
      </c>
      <c r="S267" s="530">
        <v>16628.55832336349</v>
      </c>
      <c r="T267" s="530">
        <v>469957.12184633629</v>
      </c>
      <c r="U267" s="530" t="s">
        <v>57</v>
      </c>
    </row>
    <row r="268" spans="1:21" ht="13.8" x14ac:dyDescent="0.3">
      <c r="A268" s="530" t="str">
        <f t="shared" si="8"/>
        <v>North Wales.2016.Economic Impact.Recreation</v>
      </c>
      <c r="B268" s="530" t="s">
        <v>220</v>
      </c>
      <c r="C268" s="530" t="str">
        <f t="shared" si="9"/>
        <v>2016.Economic Impact.Recreation</v>
      </c>
      <c r="D268" s="530" t="s">
        <v>233</v>
      </c>
      <c r="E268" s="530" t="s">
        <v>17</v>
      </c>
      <c r="F268" s="530" t="s">
        <v>50</v>
      </c>
      <c r="G268" s="530" t="s">
        <v>50</v>
      </c>
      <c r="H268" s="530">
        <v>3497.6263588187498</v>
      </c>
      <c r="I268" s="530">
        <v>4866.6596435337142</v>
      </c>
      <c r="J268" s="530">
        <v>14820.777835731031</v>
      </c>
      <c r="K268" s="530">
        <v>13277.271901961591</v>
      </c>
      <c r="L268" s="530">
        <v>14020.181909604773</v>
      </c>
      <c r="M268" s="530">
        <v>17916.46855380942</v>
      </c>
      <c r="N268" s="530">
        <v>22294.952200202748</v>
      </c>
      <c r="O268" s="530">
        <v>24505.502023338464</v>
      </c>
      <c r="P268" s="530">
        <v>14800.589379562638</v>
      </c>
      <c r="Q268" s="530">
        <v>11582.737168100804</v>
      </c>
      <c r="R268" s="530">
        <v>7414.2963169872273</v>
      </c>
      <c r="S268" s="530">
        <v>5656.8318058043888</v>
      </c>
      <c r="T268" s="530">
        <v>154653.89509745553</v>
      </c>
      <c r="U268" s="530" t="s">
        <v>57</v>
      </c>
    </row>
    <row r="269" spans="1:21" ht="13.8" x14ac:dyDescent="0.3">
      <c r="A269" s="530" t="str">
        <f t="shared" si="8"/>
        <v>North Wales.2016.Economic Impact.Shopping</v>
      </c>
      <c r="B269" s="530" t="s">
        <v>220</v>
      </c>
      <c r="C269" s="530" t="str">
        <f t="shared" si="9"/>
        <v>2016.Economic Impact.Shopping</v>
      </c>
      <c r="D269" s="530" t="s">
        <v>233</v>
      </c>
      <c r="E269" s="530" t="s">
        <v>17</v>
      </c>
      <c r="F269" s="530" t="s">
        <v>51</v>
      </c>
      <c r="G269" s="530" t="s">
        <v>51</v>
      </c>
      <c r="H269" s="530">
        <v>15873.269925151095</v>
      </c>
      <c r="I269" s="530">
        <v>20656.195070931029</v>
      </c>
      <c r="J269" s="530">
        <v>50364.115330864188</v>
      </c>
      <c r="K269" s="530">
        <v>56659.37635957828</v>
      </c>
      <c r="L269" s="530">
        <v>62037.335443879303</v>
      </c>
      <c r="M269" s="530">
        <v>71325.1301176665</v>
      </c>
      <c r="N269" s="530">
        <v>90232.656269141502</v>
      </c>
      <c r="O269" s="530">
        <v>104705.23772991347</v>
      </c>
      <c r="P269" s="530">
        <v>61627.677642124094</v>
      </c>
      <c r="Q269" s="530">
        <v>49549.903293587748</v>
      </c>
      <c r="R269" s="530">
        <v>26230.917502439435</v>
      </c>
      <c r="S269" s="530">
        <v>20864.425899279984</v>
      </c>
      <c r="T269" s="530">
        <v>630126.2405845566</v>
      </c>
      <c r="U269" s="530" t="s">
        <v>57</v>
      </c>
    </row>
    <row r="270" spans="1:21" ht="13.8" x14ac:dyDescent="0.3">
      <c r="A270" s="530" t="str">
        <f t="shared" si="8"/>
        <v>North Wales.2016.Economic Impact.Transport</v>
      </c>
      <c r="B270" s="530" t="s">
        <v>220</v>
      </c>
      <c r="C270" s="530" t="str">
        <f t="shared" si="9"/>
        <v>2016.Economic Impact.Transport</v>
      </c>
      <c r="D270" s="530" t="s">
        <v>233</v>
      </c>
      <c r="E270" s="530" t="s">
        <v>17</v>
      </c>
      <c r="F270" s="530" t="s">
        <v>52</v>
      </c>
      <c r="G270" s="530" t="s">
        <v>52</v>
      </c>
      <c r="H270" s="530">
        <v>4855.9666549477261</v>
      </c>
      <c r="I270" s="530">
        <v>6488.375804099036</v>
      </c>
      <c r="J270" s="530">
        <v>18280.254878105428</v>
      </c>
      <c r="K270" s="530">
        <v>18840.042319742013</v>
      </c>
      <c r="L270" s="530">
        <v>20270.025358434428</v>
      </c>
      <c r="M270" s="530">
        <v>24442.053586186656</v>
      </c>
      <c r="N270" s="530">
        <v>30715.663496477951</v>
      </c>
      <c r="O270" s="530">
        <v>33954.743488909626</v>
      </c>
      <c r="P270" s="530">
        <v>20506.92887773662</v>
      </c>
      <c r="Q270" s="530">
        <v>16377.078030099065</v>
      </c>
      <c r="R270" s="530">
        <v>9287.990355323007</v>
      </c>
      <c r="S270" s="530">
        <v>7071.0441507888727</v>
      </c>
      <c r="T270" s="530">
        <v>211090.16700085043</v>
      </c>
      <c r="U270" s="530" t="s">
        <v>57</v>
      </c>
    </row>
    <row r="271" spans="1:21" ht="13.8" x14ac:dyDescent="0.3">
      <c r="A271" s="530" t="str">
        <f t="shared" si="8"/>
        <v>North Wales.2016.Economic Impact.Direct Expenditure</v>
      </c>
      <c r="B271" s="530" t="s">
        <v>220</v>
      </c>
      <c r="C271" s="530" t="str">
        <f t="shared" si="9"/>
        <v>2016.Economic Impact.Direct Expenditure</v>
      </c>
      <c r="D271" s="530" t="s">
        <v>233</v>
      </c>
      <c r="E271" s="530" t="s">
        <v>17</v>
      </c>
      <c r="F271" s="530" t="s">
        <v>44</v>
      </c>
      <c r="G271" s="530" t="s">
        <v>44</v>
      </c>
      <c r="H271" s="530">
        <v>56063.412633847023</v>
      </c>
      <c r="I271" s="530">
        <v>72490.227113206929</v>
      </c>
      <c r="J271" s="530">
        <v>175653.52649965152</v>
      </c>
      <c r="K271" s="530">
        <v>188261.47863520862</v>
      </c>
      <c r="L271" s="530">
        <v>205658.54957214181</v>
      </c>
      <c r="M271" s="530">
        <v>241809.01541795567</v>
      </c>
      <c r="N271" s="530">
        <v>328643.71904842334</v>
      </c>
      <c r="O271" s="530">
        <v>370001.7804948925</v>
      </c>
      <c r="P271" s="530">
        <v>238411.26922684695</v>
      </c>
      <c r="Q271" s="530">
        <v>165416.92063273725</v>
      </c>
      <c r="R271" s="530">
        <v>98829.540192589193</v>
      </c>
      <c r="S271" s="530">
        <v>77775.845392358679</v>
      </c>
      <c r="T271" s="530">
        <v>2219015.2848598599</v>
      </c>
      <c r="U271" s="530" t="s">
        <v>57</v>
      </c>
    </row>
    <row r="272" spans="1:21" ht="13.8" x14ac:dyDescent="0.3">
      <c r="A272" s="530" t="str">
        <f t="shared" si="8"/>
        <v>North Wales.2016.Population.Total</v>
      </c>
      <c r="B272" s="530" t="s">
        <v>220</v>
      </c>
      <c r="C272" s="530" t="str">
        <f t="shared" si="9"/>
        <v>2016.Population.Total</v>
      </c>
      <c r="D272" s="530" t="s">
        <v>233</v>
      </c>
      <c r="E272" s="530" t="s">
        <v>19</v>
      </c>
      <c r="F272" s="530" t="s">
        <v>54</v>
      </c>
      <c r="G272" s="530" t="s">
        <v>54</v>
      </c>
      <c r="H272" s="530">
        <v>694473</v>
      </c>
      <c r="I272" s="530">
        <v>694473</v>
      </c>
      <c r="J272" s="530">
        <v>694473</v>
      </c>
      <c r="K272" s="530">
        <v>694473</v>
      </c>
      <c r="L272" s="530">
        <v>694473</v>
      </c>
      <c r="M272" s="530">
        <v>694473</v>
      </c>
      <c r="N272" s="530">
        <v>694473</v>
      </c>
      <c r="O272" s="530">
        <v>694473</v>
      </c>
      <c r="P272" s="530">
        <v>694473</v>
      </c>
      <c r="Q272" s="530">
        <v>694473</v>
      </c>
      <c r="R272" s="530">
        <v>694473</v>
      </c>
      <c r="S272" s="530">
        <v>694473</v>
      </c>
      <c r="T272" s="530">
        <v>694473</v>
      </c>
      <c r="U272" s="530" t="s">
        <v>60</v>
      </c>
    </row>
    <row r="273" spans="1:21" ht="13.8" x14ac:dyDescent="0.3">
      <c r="A273" s="530" t="str">
        <f t="shared" si="8"/>
        <v>North Wales.2016.Employment.Serviced Accommodation</v>
      </c>
      <c r="B273" s="530" t="s">
        <v>220</v>
      </c>
      <c r="C273" s="530" t="str">
        <f t="shared" si="9"/>
        <v>2016.Employment.Serviced Accommodation</v>
      </c>
      <c r="D273" s="530" t="s">
        <v>233</v>
      </c>
      <c r="E273" s="530" t="s">
        <v>20</v>
      </c>
      <c r="F273" s="530" t="s">
        <v>43</v>
      </c>
      <c r="G273" s="530" t="s">
        <v>43</v>
      </c>
      <c r="H273" s="530">
        <v>5685.6234866440254</v>
      </c>
      <c r="I273" s="530">
        <v>6266.5715076112665</v>
      </c>
      <c r="J273" s="530">
        <v>6695.9155374141828</v>
      </c>
      <c r="K273" s="530">
        <v>7449.7080950389027</v>
      </c>
      <c r="L273" s="530">
        <v>7911.707708526179</v>
      </c>
      <c r="M273" s="530">
        <v>7895.9499468541426</v>
      </c>
      <c r="N273" s="530">
        <v>8121.0573262307471</v>
      </c>
      <c r="O273" s="530">
        <v>8699.4256365053225</v>
      </c>
      <c r="P273" s="530">
        <v>7901.1441466094984</v>
      </c>
      <c r="Q273" s="530">
        <v>7079.4330387116952</v>
      </c>
      <c r="R273" s="530">
        <v>6688.6348554802908</v>
      </c>
      <c r="S273" s="530">
        <v>6144.0007978057138</v>
      </c>
      <c r="T273" s="530">
        <v>7211.5976736193315</v>
      </c>
      <c r="U273" s="530" t="s">
        <v>59</v>
      </c>
    </row>
    <row r="274" spans="1:21" ht="13.8" x14ac:dyDescent="0.3">
      <c r="A274" s="530" t="str">
        <f t="shared" si="8"/>
        <v>North Wales.2016.Employment.Non-Serviced Accommodation</v>
      </c>
      <c r="B274" s="530" t="s">
        <v>220</v>
      </c>
      <c r="C274" s="530" t="str">
        <f t="shared" si="9"/>
        <v>2016.Employment.Non-Serviced Accommodation</v>
      </c>
      <c r="D274" s="530" t="s">
        <v>233</v>
      </c>
      <c r="E274" s="530" t="s">
        <v>20</v>
      </c>
      <c r="F274" s="530" t="s">
        <v>48</v>
      </c>
      <c r="G274" s="530" t="s">
        <v>48</v>
      </c>
      <c r="H274" s="530">
        <v>6513.0231352158653</v>
      </c>
      <c r="I274" s="530">
        <v>7777.6826359525066</v>
      </c>
      <c r="J274" s="530">
        <v>20188.044748722772</v>
      </c>
      <c r="K274" s="530">
        <v>18982.935938413546</v>
      </c>
      <c r="L274" s="530">
        <v>20311.405592244173</v>
      </c>
      <c r="M274" s="530">
        <v>25102.226794345832</v>
      </c>
      <c r="N274" s="530">
        <v>29887.57697589587</v>
      </c>
      <c r="O274" s="530">
        <v>32339.036081262268</v>
      </c>
      <c r="P274" s="530">
        <v>21792.362809823622</v>
      </c>
      <c r="Q274" s="530">
        <v>18175.824716199819</v>
      </c>
      <c r="R274" s="530">
        <v>11567.714211290458</v>
      </c>
      <c r="S274" s="530">
        <v>8809.3886484127397</v>
      </c>
      <c r="T274" s="530">
        <v>18453.935190648288</v>
      </c>
      <c r="U274" s="530" t="s">
        <v>59</v>
      </c>
    </row>
    <row r="275" spans="1:21" ht="13.8" x14ac:dyDescent="0.3">
      <c r="A275" s="530" t="str">
        <f t="shared" si="8"/>
        <v>North Wales.2016.Employment.SFR</v>
      </c>
      <c r="B275" s="530" t="s">
        <v>220</v>
      </c>
      <c r="C275" s="530" t="str">
        <f t="shared" si="9"/>
        <v>2016.Employment.SFR</v>
      </c>
      <c r="D275" s="530" t="s">
        <v>233</v>
      </c>
      <c r="E275" s="530" t="s">
        <v>20</v>
      </c>
      <c r="F275" s="530" t="s">
        <v>18</v>
      </c>
      <c r="G275" s="530" t="s">
        <v>18</v>
      </c>
      <c r="H275" s="530">
        <v>1740.8918730313371</v>
      </c>
      <c r="I275" s="530">
        <v>584.93966933852926</v>
      </c>
      <c r="J275" s="530">
        <v>665.40756035864456</v>
      </c>
      <c r="K275" s="530">
        <v>1587.6933882045796</v>
      </c>
      <c r="L275" s="530">
        <v>1021.3232321783846</v>
      </c>
      <c r="M275" s="530">
        <v>786.74385526032211</v>
      </c>
      <c r="N275" s="530">
        <v>1276.6540402229807</v>
      </c>
      <c r="O275" s="530">
        <v>1351.4582296828339</v>
      </c>
      <c r="P275" s="530">
        <v>696.1107031611466</v>
      </c>
      <c r="Q275" s="530">
        <v>695.42827354691826</v>
      </c>
      <c r="R275" s="530">
        <v>541.88161034555412</v>
      </c>
      <c r="S275" s="530">
        <v>1569.1238748922453</v>
      </c>
      <c r="T275" s="530">
        <v>1043.1380258519564</v>
      </c>
      <c r="U275" s="530" t="s">
        <v>59</v>
      </c>
    </row>
    <row r="276" spans="1:21" ht="13.8" x14ac:dyDescent="0.3">
      <c r="A276" s="530" t="str">
        <f t="shared" si="8"/>
        <v>North Wales.2016.Employment.Day Visitor</v>
      </c>
      <c r="B276" s="530" t="s">
        <v>220</v>
      </c>
      <c r="C276" s="530" t="str">
        <f t="shared" si="9"/>
        <v>2016.Employment.Day Visitor</v>
      </c>
      <c r="D276" s="530" t="s">
        <v>233</v>
      </c>
      <c r="E276" s="530" t="s">
        <v>20</v>
      </c>
      <c r="F276" s="530" t="s">
        <v>71</v>
      </c>
      <c r="G276" s="530" t="s">
        <v>71</v>
      </c>
      <c r="H276" s="530">
        <v>2317.8864864171496</v>
      </c>
      <c r="I276" s="530">
        <v>3680.6096686055153</v>
      </c>
      <c r="J276" s="530">
        <v>6909.3730835798951</v>
      </c>
      <c r="K276" s="530">
        <v>8479.8009694071134</v>
      </c>
      <c r="L276" s="530">
        <v>9564.3236477344017</v>
      </c>
      <c r="M276" s="530">
        <v>10139.976646592497</v>
      </c>
      <c r="N276" s="530">
        <v>13196.390721031559</v>
      </c>
      <c r="O276" s="530">
        <v>17493.448488423415</v>
      </c>
      <c r="P276" s="530">
        <v>8777.7327680873695</v>
      </c>
      <c r="Q276" s="530">
        <v>7219.006045341358</v>
      </c>
      <c r="R276" s="530">
        <v>3421.0086953379114</v>
      </c>
      <c r="S276" s="530">
        <v>2717.2963894812719</v>
      </c>
      <c r="T276" s="530">
        <v>7826.4044675032874</v>
      </c>
      <c r="U276" s="530" t="s">
        <v>59</v>
      </c>
    </row>
    <row r="277" spans="1:21" ht="13.8" x14ac:dyDescent="0.3">
      <c r="A277" s="530" t="str">
        <f t="shared" si="8"/>
        <v>North Wales.2016.Employment.Direct Employment</v>
      </c>
      <c r="B277" s="530" t="s">
        <v>220</v>
      </c>
      <c r="C277" s="530" t="str">
        <f t="shared" si="9"/>
        <v>2016.Employment.Direct Employment</v>
      </c>
      <c r="D277" s="530" t="s">
        <v>233</v>
      </c>
      <c r="E277" s="530" t="s">
        <v>20</v>
      </c>
      <c r="F277" s="530" t="s">
        <v>55</v>
      </c>
      <c r="G277" s="530" t="s">
        <v>55</v>
      </c>
      <c r="H277" s="530">
        <v>16257.424981308379</v>
      </c>
      <c r="I277" s="530">
        <v>18309.803481507817</v>
      </c>
      <c r="J277" s="530">
        <v>34458.740930075495</v>
      </c>
      <c r="K277" s="530">
        <v>36500.138391064145</v>
      </c>
      <c r="L277" s="530">
        <v>38808.76018068313</v>
      </c>
      <c r="M277" s="530">
        <v>43924.897243052801</v>
      </c>
      <c r="N277" s="530">
        <v>52481.679063381154</v>
      </c>
      <c r="O277" s="530">
        <v>59883.368435873846</v>
      </c>
      <c r="P277" s="530">
        <v>39167.350427681646</v>
      </c>
      <c r="Q277" s="530">
        <v>33169.692073799786</v>
      </c>
      <c r="R277" s="530">
        <v>22219.239372454213</v>
      </c>
      <c r="S277" s="530">
        <v>19239.80971059197</v>
      </c>
      <c r="T277" s="530">
        <v>34535.075357622867</v>
      </c>
      <c r="U277" s="530" t="s">
        <v>59</v>
      </c>
    </row>
    <row r="278" spans="1:21" ht="13.8" x14ac:dyDescent="0.3">
      <c r="A278" s="530" t="str">
        <f t="shared" si="8"/>
        <v>North Wales.2016.Employment.Indirect Employment</v>
      </c>
      <c r="B278" s="530" t="s">
        <v>220</v>
      </c>
      <c r="C278" s="530" t="str">
        <f t="shared" si="9"/>
        <v>2016.Employment.Indirect Employment</v>
      </c>
      <c r="D278" s="530" t="s">
        <v>233</v>
      </c>
      <c r="E278" s="530" t="s">
        <v>20</v>
      </c>
      <c r="F278" s="530" t="s">
        <v>53</v>
      </c>
      <c r="G278" s="530" t="s">
        <v>53</v>
      </c>
      <c r="H278" s="530">
        <v>2400.5704666594343</v>
      </c>
      <c r="I278" s="530">
        <v>3149.7048179923263</v>
      </c>
      <c r="J278" s="530">
        <v>7777.6124610477909</v>
      </c>
      <c r="K278" s="530">
        <v>8308.5337416731873</v>
      </c>
      <c r="L278" s="530">
        <v>9076.6315444643842</v>
      </c>
      <c r="M278" s="530">
        <v>10742.831273351567</v>
      </c>
      <c r="N278" s="530">
        <v>14616.6107804122</v>
      </c>
      <c r="O278" s="530">
        <v>16505.51263120252</v>
      </c>
      <c r="P278" s="530">
        <v>10540.76314988882</v>
      </c>
      <c r="Q278" s="530">
        <v>7416.8317963150084</v>
      </c>
      <c r="R278" s="530">
        <v>4287.2857972662541</v>
      </c>
      <c r="S278" s="530">
        <v>3352.6786830500646</v>
      </c>
      <c r="T278" s="530">
        <v>8181.2972619436305</v>
      </c>
      <c r="U278" s="530" t="s">
        <v>59</v>
      </c>
    </row>
    <row r="279" spans="1:21" ht="13.8" x14ac:dyDescent="0.3">
      <c r="A279" s="530" t="str">
        <f t="shared" si="8"/>
        <v>North Wales.2016.Employment.Total</v>
      </c>
      <c r="B279" s="530" t="s">
        <v>220</v>
      </c>
      <c r="C279" s="530" t="str">
        <f t="shared" si="9"/>
        <v>2016.Employment.Total</v>
      </c>
      <c r="D279" s="530" t="s">
        <v>233</v>
      </c>
      <c r="E279" s="530" t="s">
        <v>20</v>
      </c>
      <c r="F279" s="530" t="s">
        <v>54</v>
      </c>
      <c r="G279" s="530" t="s">
        <v>54</v>
      </c>
      <c r="H279" s="530">
        <v>18657.995447967816</v>
      </c>
      <c r="I279" s="530">
        <v>21459.508299500143</v>
      </c>
      <c r="J279" s="530">
        <v>42236.353391123288</v>
      </c>
      <c r="K279" s="530">
        <v>44808.672132737331</v>
      </c>
      <c r="L279" s="530">
        <v>47885.391725147521</v>
      </c>
      <c r="M279" s="530">
        <v>54667.728516404364</v>
      </c>
      <c r="N279" s="530">
        <v>67098.289843793362</v>
      </c>
      <c r="O279" s="530">
        <v>76388.881067076363</v>
      </c>
      <c r="P279" s="530">
        <v>49708.113577570461</v>
      </c>
      <c r="Q279" s="530">
        <v>40586.523870114797</v>
      </c>
      <c r="R279" s="530">
        <v>26506.525169720466</v>
      </c>
      <c r="S279" s="530">
        <v>22592.488393642034</v>
      </c>
      <c r="T279" s="530">
        <v>42716.372619566493</v>
      </c>
      <c r="U279" s="530" t="s">
        <v>59</v>
      </c>
    </row>
    <row r="280" spans="1:21" ht="13.8" x14ac:dyDescent="0.3">
      <c r="A280" s="530" t="str">
        <f t="shared" si="8"/>
        <v>North Wales.2016.Employment.Accommodation</v>
      </c>
      <c r="B280" s="530" t="s">
        <v>220</v>
      </c>
      <c r="C280" s="530" t="str">
        <f t="shared" si="9"/>
        <v>2016.Employment.Accommodation</v>
      </c>
      <c r="D280" s="530" t="s">
        <v>233</v>
      </c>
      <c r="E280" s="530" t="s">
        <v>20</v>
      </c>
      <c r="F280" s="530" t="s">
        <v>23</v>
      </c>
      <c r="G280" s="530" t="s">
        <v>23</v>
      </c>
      <c r="H280" s="530">
        <v>8987.7407183908035</v>
      </c>
      <c r="I280" s="530">
        <v>9239.1535989630829</v>
      </c>
      <c r="J280" s="530">
        <v>10587.460632183907</v>
      </c>
      <c r="K280" s="530">
        <v>10790.261609195402</v>
      </c>
      <c r="L280" s="530">
        <v>10892.701929591765</v>
      </c>
      <c r="M280" s="530">
        <v>11214.300172706471</v>
      </c>
      <c r="N280" s="530">
        <v>11100.437497360745</v>
      </c>
      <c r="O280" s="530">
        <v>13217.293946032338</v>
      </c>
      <c r="P280" s="530">
        <v>11004.25881687362</v>
      </c>
      <c r="Q280" s="530">
        <v>10661.279396551723</v>
      </c>
      <c r="R280" s="530">
        <v>9644.5552760045193</v>
      </c>
      <c r="S280" s="530">
        <v>9307.5574425287341</v>
      </c>
      <c r="T280" s="530">
        <v>10553.916753031926</v>
      </c>
      <c r="U280" s="530" t="s">
        <v>59</v>
      </c>
    </row>
    <row r="281" spans="1:21" ht="13.8" x14ac:dyDescent="0.3">
      <c r="A281" s="530" t="str">
        <f t="shared" si="8"/>
        <v>North Wales.2016.Employment.Food &amp; Drink</v>
      </c>
      <c r="B281" s="530" t="s">
        <v>220</v>
      </c>
      <c r="C281" s="530" t="str">
        <f t="shared" si="9"/>
        <v>2016.Employment.Food &amp; Drink</v>
      </c>
      <c r="D281" s="530" t="s">
        <v>233</v>
      </c>
      <c r="E281" s="530" t="s">
        <v>20</v>
      </c>
      <c r="F281" s="530" t="s">
        <v>49</v>
      </c>
      <c r="G281" s="530" t="s">
        <v>49</v>
      </c>
      <c r="H281" s="530">
        <v>3206.4633300184187</v>
      </c>
      <c r="I281" s="530">
        <v>3693.7762538192856</v>
      </c>
      <c r="J281" s="530">
        <v>9872.431517046045</v>
      </c>
      <c r="K281" s="530">
        <v>10883.03538660332</v>
      </c>
      <c r="L281" s="530">
        <v>11828.520487058086</v>
      </c>
      <c r="M281" s="530">
        <v>13706.493080210621</v>
      </c>
      <c r="N281" s="530">
        <v>17447.700309912689</v>
      </c>
      <c r="O281" s="530">
        <v>19354.784770266797</v>
      </c>
      <c r="P281" s="530">
        <v>11952.874319867828</v>
      </c>
      <c r="Q281" s="530">
        <v>9553.7326632662953</v>
      </c>
      <c r="R281" s="530">
        <v>5371.0363939842691</v>
      </c>
      <c r="S281" s="530">
        <v>4286.9430191666715</v>
      </c>
      <c r="T281" s="530">
        <v>10096.482627601696</v>
      </c>
      <c r="U281" s="530" t="s">
        <v>59</v>
      </c>
    </row>
    <row r="282" spans="1:21" ht="13.8" x14ac:dyDescent="0.3">
      <c r="A282" s="530" t="str">
        <f t="shared" si="8"/>
        <v>North Wales.2016.Employment.Recreation</v>
      </c>
      <c r="B282" s="530" t="s">
        <v>220</v>
      </c>
      <c r="C282" s="530" t="str">
        <f t="shared" si="9"/>
        <v>2016.Employment.Recreation</v>
      </c>
      <c r="D282" s="530" t="s">
        <v>233</v>
      </c>
      <c r="E282" s="530" t="s">
        <v>20</v>
      </c>
      <c r="F282" s="530" t="s">
        <v>50</v>
      </c>
      <c r="G282" s="530" t="s">
        <v>50</v>
      </c>
      <c r="H282" s="530">
        <v>782.90377398735245</v>
      </c>
      <c r="I282" s="530">
        <v>1093.2499397768374</v>
      </c>
      <c r="J282" s="530">
        <v>3338.0882049848242</v>
      </c>
      <c r="K282" s="530">
        <v>2985.2761686170238</v>
      </c>
      <c r="L282" s="530">
        <v>3153.513630788741</v>
      </c>
      <c r="M282" s="530">
        <v>4033.6528992022909</v>
      </c>
      <c r="N282" s="530">
        <v>5012.6781988078037</v>
      </c>
      <c r="O282" s="530">
        <v>5504.09635937638</v>
      </c>
      <c r="P282" s="530">
        <v>3328.9918388738743</v>
      </c>
      <c r="Q282" s="530">
        <v>2607.6684369602622</v>
      </c>
      <c r="R282" s="530">
        <v>1671.7303146531792</v>
      </c>
      <c r="S282" s="530">
        <v>1273.0072993466856</v>
      </c>
      <c r="T282" s="530">
        <v>2898.738088781271</v>
      </c>
      <c r="U282" s="530" t="s">
        <v>59</v>
      </c>
    </row>
    <row r="283" spans="1:21" ht="13.8" x14ac:dyDescent="0.3">
      <c r="A283" s="530" t="str">
        <f t="shared" si="8"/>
        <v>North Wales.2016.Employment.Shopping</v>
      </c>
      <c r="B283" s="530" t="s">
        <v>220</v>
      </c>
      <c r="C283" s="530" t="str">
        <f t="shared" si="9"/>
        <v>2016.Employment.Shopping</v>
      </c>
      <c r="D283" s="530" t="s">
        <v>233</v>
      </c>
      <c r="E283" s="530" t="s">
        <v>20</v>
      </c>
      <c r="F283" s="530" t="s">
        <v>51</v>
      </c>
      <c r="G283" s="530" t="s">
        <v>51</v>
      </c>
      <c r="H283" s="530">
        <v>2853.2077910171702</v>
      </c>
      <c r="I283" s="530">
        <v>3712.9348260982133</v>
      </c>
      <c r="J283" s="530">
        <v>9052.9101393291639</v>
      </c>
      <c r="K283" s="530">
        <v>10184.478360515503</v>
      </c>
      <c r="L283" s="530">
        <v>11151.162278287607</v>
      </c>
      <c r="M283" s="530">
        <v>12820.636069735476</v>
      </c>
      <c r="N283" s="530">
        <v>16219.249032195754</v>
      </c>
      <c r="O283" s="530">
        <v>18820.684172826503</v>
      </c>
      <c r="P283" s="530">
        <v>11077.526610455432</v>
      </c>
      <c r="Q283" s="530">
        <v>8906.5561656834361</v>
      </c>
      <c r="R283" s="530">
        <v>4714.9868008545482</v>
      </c>
      <c r="S283" s="530">
        <v>3750.3641538030115</v>
      </c>
      <c r="T283" s="530">
        <v>9438.7247000668194</v>
      </c>
      <c r="U283" s="530" t="s">
        <v>59</v>
      </c>
    </row>
    <row r="284" spans="1:21" ht="13.8" x14ac:dyDescent="0.3">
      <c r="A284" s="530" t="str">
        <f t="shared" si="8"/>
        <v>North Wales.2016.Employment.Transport</v>
      </c>
      <c r="B284" s="530" t="s">
        <v>220</v>
      </c>
      <c r="C284" s="530" t="str">
        <f t="shared" si="9"/>
        <v>2016.Employment.Transport</v>
      </c>
      <c r="D284" s="530" t="s">
        <v>233</v>
      </c>
      <c r="E284" s="530" t="s">
        <v>20</v>
      </c>
      <c r="F284" s="530" t="s">
        <v>52</v>
      </c>
      <c r="G284" s="530" t="s">
        <v>52</v>
      </c>
      <c r="H284" s="530">
        <v>427.10936789463295</v>
      </c>
      <c r="I284" s="530">
        <v>570.68886285039821</v>
      </c>
      <c r="J284" s="530">
        <v>1607.8504365315578</v>
      </c>
      <c r="K284" s="530">
        <v>1657.0868661328914</v>
      </c>
      <c r="L284" s="530">
        <v>1782.8618549569319</v>
      </c>
      <c r="M284" s="530">
        <v>2149.8150211979387</v>
      </c>
      <c r="N284" s="530">
        <v>2701.6140251041688</v>
      </c>
      <c r="O284" s="530">
        <v>2986.5091873718216</v>
      </c>
      <c r="P284" s="530">
        <v>1803.698841610882</v>
      </c>
      <c r="Q284" s="530">
        <v>1440.4554113380727</v>
      </c>
      <c r="R284" s="530">
        <v>816.93058695769844</v>
      </c>
      <c r="S284" s="530">
        <v>621.93779574686721</v>
      </c>
      <c r="T284" s="530">
        <v>1547.2131881411553</v>
      </c>
      <c r="U284" s="530" t="s">
        <v>59</v>
      </c>
    </row>
    <row r="285" spans="1:21" ht="13.8" x14ac:dyDescent="0.3">
      <c r="A285" s="530" t="str">
        <f t="shared" si="8"/>
        <v>North Wales.2016.Visitor Days.Serviced Accommodation</v>
      </c>
      <c r="B285" s="530" t="s">
        <v>220</v>
      </c>
      <c r="C285" s="530" t="str">
        <f t="shared" si="9"/>
        <v>2016.Visitor Days.Serviced Accommodation</v>
      </c>
      <c r="D285" s="530" t="s">
        <v>233</v>
      </c>
      <c r="E285" s="530" t="s">
        <v>171</v>
      </c>
      <c r="F285" s="530" t="s">
        <v>43</v>
      </c>
      <c r="G285" s="530" t="s">
        <v>43</v>
      </c>
      <c r="H285" s="530">
        <v>211.24084967973323</v>
      </c>
      <c r="I285" s="530">
        <v>281.48732913350608</v>
      </c>
      <c r="J285" s="530">
        <v>303.71468003725857</v>
      </c>
      <c r="K285" s="530">
        <v>410.7415094551871</v>
      </c>
      <c r="L285" s="530">
        <v>498.43478013739622</v>
      </c>
      <c r="M285" s="530">
        <v>478.63282413256354</v>
      </c>
      <c r="N285" s="530">
        <v>511.87491293750833</v>
      </c>
      <c r="O285" s="530">
        <v>586.27595354181028</v>
      </c>
      <c r="P285" s="530">
        <v>486.31919303123044</v>
      </c>
      <c r="Q285" s="530">
        <v>353.90138737876003</v>
      </c>
      <c r="R285" s="530">
        <v>323.71765157726873</v>
      </c>
      <c r="S285" s="530">
        <v>263.45385283118895</v>
      </c>
      <c r="T285" s="530">
        <v>4709.7949238734118</v>
      </c>
      <c r="U285" s="530" t="s">
        <v>61</v>
      </c>
    </row>
    <row r="286" spans="1:21" ht="13.8" x14ac:dyDescent="0.3">
      <c r="A286" s="530" t="str">
        <f t="shared" si="8"/>
        <v>North Wales.2016.Visitor Days.Non-Serviced Accommodation</v>
      </c>
      <c r="B286" s="530" t="s">
        <v>220</v>
      </c>
      <c r="C286" s="530" t="str">
        <f t="shared" si="9"/>
        <v>2016.Visitor Days.Non-Serviced Accommodation</v>
      </c>
      <c r="D286" s="530" t="s">
        <v>233</v>
      </c>
      <c r="E286" s="530" t="s">
        <v>171</v>
      </c>
      <c r="F286" s="530" t="s">
        <v>48</v>
      </c>
      <c r="G286" s="530" t="s">
        <v>48</v>
      </c>
      <c r="H286" s="530">
        <v>529.83580722047839</v>
      </c>
      <c r="I286" s="530">
        <v>783.33588786696373</v>
      </c>
      <c r="J286" s="530">
        <v>3383.1350406401662</v>
      </c>
      <c r="K286" s="530">
        <v>3279.2099068157249</v>
      </c>
      <c r="L286" s="530">
        <v>3630.6028428870641</v>
      </c>
      <c r="M286" s="530">
        <v>4633.2679420593358</v>
      </c>
      <c r="N286" s="530">
        <v>5850.8052485658309</v>
      </c>
      <c r="O286" s="530">
        <v>6002.8003037522512</v>
      </c>
      <c r="P286" s="530">
        <v>3946.6038101755289</v>
      </c>
      <c r="Q286" s="530">
        <v>3096.6795841700609</v>
      </c>
      <c r="R286" s="530">
        <v>1622.1622644151553</v>
      </c>
      <c r="S286" s="530">
        <v>1007.5328130444383</v>
      </c>
      <c r="T286" s="530">
        <v>37765.97145161299</v>
      </c>
      <c r="U286" s="530" t="s">
        <v>61</v>
      </c>
    </row>
    <row r="287" spans="1:21" ht="13.8" x14ac:dyDescent="0.3">
      <c r="A287" s="530" t="str">
        <f t="shared" si="8"/>
        <v>North Wales.2016.Visitor Days.SFR</v>
      </c>
      <c r="B287" s="530" t="s">
        <v>220</v>
      </c>
      <c r="C287" s="530" t="str">
        <f t="shared" si="9"/>
        <v>2016.Visitor Days.SFR</v>
      </c>
      <c r="D287" s="530" t="s">
        <v>233</v>
      </c>
      <c r="E287" s="530" t="s">
        <v>171</v>
      </c>
      <c r="F287" s="530" t="s">
        <v>18</v>
      </c>
      <c r="G287" s="530" t="s">
        <v>18</v>
      </c>
      <c r="H287" s="530">
        <v>355.12823863636356</v>
      </c>
      <c r="I287" s="530">
        <v>119.32308818181816</v>
      </c>
      <c r="J287" s="530">
        <v>135.73790454545454</v>
      </c>
      <c r="K287" s="530">
        <v>323.87695363636362</v>
      </c>
      <c r="L287" s="530">
        <v>208.34190000000001</v>
      </c>
      <c r="M287" s="530">
        <v>160.48955360454545</v>
      </c>
      <c r="N287" s="530">
        <v>260.42737499999998</v>
      </c>
      <c r="O287" s="530">
        <v>275.6868408272727</v>
      </c>
      <c r="P287" s="530">
        <v>142.00110399681819</v>
      </c>
      <c r="Q287" s="530">
        <v>141.8618937272727</v>
      </c>
      <c r="R287" s="530">
        <v>110.53958307954542</v>
      </c>
      <c r="S287" s="530">
        <v>320.08891909090914</v>
      </c>
      <c r="T287" s="530">
        <v>2553.5033543263635</v>
      </c>
      <c r="U287" s="530" t="s">
        <v>61</v>
      </c>
    </row>
    <row r="288" spans="1:21" ht="13.8" x14ac:dyDescent="0.3">
      <c r="A288" s="530" t="str">
        <f t="shared" si="8"/>
        <v>North Wales.2016.Visitor Days.Day Visitor</v>
      </c>
      <c r="B288" s="530" t="s">
        <v>220</v>
      </c>
      <c r="C288" s="530" t="str">
        <f t="shared" si="9"/>
        <v>2016.Visitor Days.Day Visitor</v>
      </c>
      <c r="D288" s="530" t="s">
        <v>233</v>
      </c>
      <c r="E288" s="530" t="s">
        <v>171</v>
      </c>
      <c r="F288" s="530" t="s">
        <v>71</v>
      </c>
      <c r="G288" s="530" t="s">
        <v>71</v>
      </c>
      <c r="H288" s="530">
        <v>519.35593254540902</v>
      </c>
      <c r="I288" s="530">
        <v>775.94018953436102</v>
      </c>
      <c r="J288" s="530">
        <v>1461.8551284742464</v>
      </c>
      <c r="K288" s="530">
        <v>1765.2554620637263</v>
      </c>
      <c r="L288" s="530">
        <v>1978.083223387021</v>
      </c>
      <c r="M288" s="530">
        <v>2088.1093879163509</v>
      </c>
      <c r="N288" s="530">
        <v>2750.4489469447581</v>
      </c>
      <c r="O288" s="530">
        <v>3632.4601968683173</v>
      </c>
      <c r="P288" s="530">
        <v>1815.9056429117538</v>
      </c>
      <c r="Q288" s="530">
        <v>1524.1217453358711</v>
      </c>
      <c r="R288" s="530">
        <v>748.12450929567785</v>
      </c>
      <c r="S288" s="530">
        <v>607.92499103451757</v>
      </c>
      <c r="T288" s="530">
        <v>19667.585356312014</v>
      </c>
      <c r="U288" s="530" t="s">
        <v>61</v>
      </c>
    </row>
    <row r="289" spans="1:21" ht="13.8" x14ac:dyDescent="0.3">
      <c r="A289" s="530" t="str">
        <f t="shared" si="8"/>
        <v>North Wales.2016.Visitor Days.Total</v>
      </c>
      <c r="B289" s="530" t="s">
        <v>220</v>
      </c>
      <c r="C289" s="530" t="str">
        <f t="shared" si="9"/>
        <v>2016.Visitor Days.Total</v>
      </c>
      <c r="D289" s="530" t="s">
        <v>233</v>
      </c>
      <c r="E289" s="530" t="s">
        <v>171</v>
      </c>
      <c r="F289" s="530" t="s">
        <v>54</v>
      </c>
      <c r="G289" s="530" t="s">
        <v>54</v>
      </c>
      <c r="H289" s="530">
        <v>1615.5608280819843</v>
      </c>
      <c r="I289" s="530">
        <v>1960.086494716649</v>
      </c>
      <c r="J289" s="530">
        <v>5284.4427536971252</v>
      </c>
      <c r="K289" s="530">
        <v>5779.0838319710019</v>
      </c>
      <c r="L289" s="530">
        <v>6315.462746411481</v>
      </c>
      <c r="M289" s="530">
        <v>7360.4997077127946</v>
      </c>
      <c r="N289" s="530">
        <v>9373.5564834480974</v>
      </c>
      <c r="O289" s="530">
        <v>10497.223294989652</v>
      </c>
      <c r="P289" s="530">
        <v>6390.8297501153302</v>
      </c>
      <c r="Q289" s="530">
        <v>5116.5646106119648</v>
      </c>
      <c r="R289" s="530">
        <v>2804.5440083676472</v>
      </c>
      <c r="S289" s="530">
        <v>2199.0005760010536</v>
      </c>
      <c r="T289" s="530">
        <v>64696.855086124779</v>
      </c>
      <c r="U289" s="530" t="s">
        <v>61</v>
      </c>
    </row>
    <row r="290" spans="1:21" ht="13.8" x14ac:dyDescent="0.3">
      <c r="A290" s="530" t="str">
        <f t="shared" si="8"/>
        <v>North Wales.2016.Visitor Numbers.Serviced Accommodation</v>
      </c>
      <c r="B290" s="530" t="s">
        <v>220</v>
      </c>
      <c r="C290" s="530" t="str">
        <f t="shared" si="9"/>
        <v>2016.Visitor Numbers.Serviced Accommodation</v>
      </c>
      <c r="D290" s="530" t="s">
        <v>233</v>
      </c>
      <c r="E290" s="530" t="s">
        <v>172</v>
      </c>
      <c r="F290" s="530" t="s">
        <v>43</v>
      </c>
      <c r="G290" s="530" t="s">
        <v>43</v>
      </c>
      <c r="H290" s="530">
        <v>136.82939976714195</v>
      </c>
      <c r="I290" s="530">
        <v>187.6321945011465</v>
      </c>
      <c r="J290" s="530">
        <v>147.61682318128035</v>
      </c>
      <c r="K290" s="530">
        <v>226.23175346380003</v>
      </c>
      <c r="L290" s="530">
        <v>265.54874415683338</v>
      </c>
      <c r="M290" s="530">
        <v>269.83547883751839</v>
      </c>
      <c r="N290" s="530">
        <v>297.17383142177908</v>
      </c>
      <c r="O290" s="530">
        <v>338.96074026660295</v>
      </c>
      <c r="P290" s="530">
        <v>248.99513286117181</v>
      </c>
      <c r="Q290" s="530">
        <v>204.611251570398</v>
      </c>
      <c r="R290" s="530">
        <v>188.93403511493355</v>
      </c>
      <c r="S290" s="530">
        <v>160.54739931839632</v>
      </c>
      <c r="T290" s="530">
        <v>2672.916784461002</v>
      </c>
      <c r="U290" s="530" t="s">
        <v>61</v>
      </c>
    </row>
    <row r="291" spans="1:21" ht="13.8" x14ac:dyDescent="0.3">
      <c r="A291" s="530" t="str">
        <f t="shared" si="8"/>
        <v>North Wales.2016.Visitor Numbers.Non-Serviced Accommodation</v>
      </c>
      <c r="B291" s="530" t="s">
        <v>220</v>
      </c>
      <c r="C291" s="530" t="str">
        <f t="shared" si="9"/>
        <v>2016.Visitor Numbers.Non-Serviced Accommodation</v>
      </c>
      <c r="D291" s="530" t="s">
        <v>233</v>
      </c>
      <c r="E291" s="530" t="s">
        <v>172</v>
      </c>
      <c r="F291" s="530" t="s">
        <v>48</v>
      </c>
      <c r="G291" s="530" t="s">
        <v>48</v>
      </c>
      <c r="H291" s="530">
        <v>155.8340609471995</v>
      </c>
      <c r="I291" s="530">
        <v>195.83397196674093</v>
      </c>
      <c r="J291" s="530">
        <v>704.81980013336795</v>
      </c>
      <c r="K291" s="530">
        <v>512.37654793995694</v>
      </c>
      <c r="L291" s="530">
        <v>526.17432505609622</v>
      </c>
      <c r="M291" s="530">
        <v>661.89542029419067</v>
      </c>
      <c r="N291" s="530">
        <v>824.05707726279309</v>
      </c>
      <c r="O291" s="530">
        <v>789.84214523055914</v>
      </c>
      <c r="P291" s="530">
        <v>571.97156669210551</v>
      </c>
      <c r="Q291" s="530">
        <v>442.38279773858005</v>
      </c>
      <c r="R291" s="530">
        <v>360.48050320336785</v>
      </c>
      <c r="S291" s="530">
        <v>179.9165737579354</v>
      </c>
      <c r="T291" s="530">
        <v>5925.5847902228934</v>
      </c>
      <c r="U291" s="530" t="s">
        <v>61</v>
      </c>
    </row>
    <row r="292" spans="1:21" ht="13.8" x14ac:dyDescent="0.3">
      <c r="A292" s="530" t="str">
        <f t="shared" si="8"/>
        <v>North Wales.2016.Visitor Numbers.SFR</v>
      </c>
      <c r="B292" s="530" t="s">
        <v>220</v>
      </c>
      <c r="C292" s="530" t="str">
        <f t="shared" si="9"/>
        <v>2016.Visitor Numbers.SFR</v>
      </c>
      <c r="D292" s="530" t="s">
        <v>233</v>
      </c>
      <c r="E292" s="530" t="s">
        <v>172</v>
      </c>
      <c r="F292" s="530" t="s">
        <v>18</v>
      </c>
      <c r="G292" s="530" t="s">
        <v>18</v>
      </c>
      <c r="H292" s="530">
        <v>142.05129545454545</v>
      </c>
      <c r="I292" s="530">
        <v>56.820518181818173</v>
      </c>
      <c r="J292" s="530">
        <v>63.1339090909091</v>
      </c>
      <c r="K292" s="530">
        <v>119.95442727272726</v>
      </c>
      <c r="L292" s="530">
        <v>94.700863636363621</v>
      </c>
      <c r="M292" s="530">
        <v>76.423596954545445</v>
      </c>
      <c r="N292" s="530">
        <v>104.17095</v>
      </c>
      <c r="O292" s="530">
        <v>106.0334003181818</v>
      </c>
      <c r="P292" s="530">
        <v>65.43829677272727</v>
      </c>
      <c r="Q292" s="530">
        <v>66.290604545454542</v>
      </c>
      <c r="R292" s="530">
        <v>54.452996590909088</v>
      </c>
      <c r="S292" s="530">
        <v>123.11112272727273</v>
      </c>
      <c r="T292" s="530">
        <v>1072.5819815454545</v>
      </c>
      <c r="U292" s="530" t="s">
        <v>61</v>
      </c>
    </row>
    <row r="293" spans="1:21" ht="13.8" x14ac:dyDescent="0.3">
      <c r="A293" s="530" t="str">
        <f t="shared" si="8"/>
        <v>North Wales.2016.Visitor Numbers.Day Visitor</v>
      </c>
      <c r="B293" s="530" t="s">
        <v>220</v>
      </c>
      <c r="C293" s="530" t="str">
        <f t="shared" si="9"/>
        <v>2016.Visitor Numbers.Day Visitor</v>
      </c>
      <c r="D293" s="530" t="s">
        <v>233</v>
      </c>
      <c r="E293" s="530" t="s">
        <v>172</v>
      </c>
      <c r="F293" s="530" t="s">
        <v>71</v>
      </c>
      <c r="G293" s="530" t="s">
        <v>71</v>
      </c>
      <c r="H293" s="530">
        <v>519.35593254540902</v>
      </c>
      <c r="I293" s="530">
        <v>775.94018953436102</v>
      </c>
      <c r="J293" s="530">
        <v>1461.8551284742464</v>
      </c>
      <c r="K293" s="530">
        <v>1765.2554620637263</v>
      </c>
      <c r="L293" s="530">
        <v>1978.083223387021</v>
      </c>
      <c r="M293" s="530">
        <v>2088.1093879163509</v>
      </c>
      <c r="N293" s="530">
        <v>2750.4489469447581</v>
      </c>
      <c r="O293" s="530">
        <v>3632.4601968683173</v>
      </c>
      <c r="P293" s="530">
        <v>1815.9056429117538</v>
      </c>
      <c r="Q293" s="530">
        <v>1524.1217453358711</v>
      </c>
      <c r="R293" s="530">
        <v>748.12450929567785</v>
      </c>
      <c r="S293" s="530">
        <v>607.92499103451757</v>
      </c>
      <c r="T293" s="530">
        <v>19667.585356312014</v>
      </c>
      <c r="U293" s="530" t="s">
        <v>61</v>
      </c>
    </row>
    <row r="294" spans="1:21" ht="13.8" x14ac:dyDescent="0.3">
      <c r="A294" s="530" t="str">
        <f t="shared" si="8"/>
        <v>North Wales.2016.Visitor Numbers.Total</v>
      </c>
      <c r="B294" s="530" t="s">
        <v>220</v>
      </c>
      <c r="C294" s="530" t="str">
        <f t="shared" si="9"/>
        <v>2016.Visitor Numbers.Total</v>
      </c>
      <c r="D294" s="530" t="s">
        <v>233</v>
      </c>
      <c r="E294" s="530" t="s">
        <v>172</v>
      </c>
      <c r="F294" s="530" t="s">
        <v>54</v>
      </c>
      <c r="G294" s="530" t="s">
        <v>54</v>
      </c>
      <c r="H294" s="530">
        <v>954.0706887142959</v>
      </c>
      <c r="I294" s="530">
        <v>1216.2268741840667</v>
      </c>
      <c r="J294" s="530">
        <v>2377.4256608798032</v>
      </c>
      <c r="K294" s="530">
        <v>2623.8181907402109</v>
      </c>
      <c r="L294" s="530">
        <v>2864.5071562363141</v>
      </c>
      <c r="M294" s="530">
        <v>3096.2638840026048</v>
      </c>
      <c r="N294" s="530">
        <v>3975.8508056293304</v>
      </c>
      <c r="O294" s="530">
        <v>4867.2964826836605</v>
      </c>
      <c r="P294" s="530">
        <v>2702.3106392377586</v>
      </c>
      <c r="Q294" s="530">
        <v>2237.406399190304</v>
      </c>
      <c r="R294" s="530">
        <v>1351.9920442048883</v>
      </c>
      <c r="S294" s="530">
        <v>1071.5000868381221</v>
      </c>
      <c r="T294" s="530">
        <v>29338.668912541361</v>
      </c>
      <c r="U294" s="530" t="s">
        <v>61</v>
      </c>
    </row>
    <row r="295" spans="1:21" ht="13.8" x14ac:dyDescent="0.3">
      <c r="A295" s="530" t="str">
        <f t="shared" si="8"/>
        <v>North Wales.2016.Vehicle Days.Serviced Accommodation</v>
      </c>
      <c r="B295" s="530" t="s">
        <v>220</v>
      </c>
      <c r="C295" s="530" t="str">
        <f t="shared" si="9"/>
        <v>2016.Vehicle Days.Serviced Accommodation</v>
      </c>
      <c r="D295" s="530" t="s">
        <v>233</v>
      </c>
      <c r="E295" s="530" t="s">
        <v>21</v>
      </c>
      <c r="F295" s="530" t="s">
        <v>43</v>
      </c>
      <c r="G295" s="530" t="s">
        <v>43</v>
      </c>
      <c r="H295" s="530">
        <v>54.970761926324059</v>
      </c>
      <c r="I295" s="530">
        <v>96.979724131248119</v>
      </c>
      <c r="J295" s="530">
        <v>109.46963932028038</v>
      </c>
      <c r="K295" s="530">
        <v>107.97160635045826</v>
      </c>
      <c r="L295" s="530">
        <v>140.20436957399423</v>
      </c>
      <c r="M295" s="530">
        <v>134.36902689746222</v>
      </c>
      <c r="N295" s="530">
        <v>134.33300203876013</v>
      </c>
      <c r="O295" s="530">
        <v>153.85470620224027</v>
      </c>
      <c r="P295" s="530">
        <v>127.81722315535387</v>
      </c>
      <c r="Q295" s="530">
        <v>107.54056831426149</v>
      </c>
      <c r="R295" s="530">
        <v>99.719141721051031</v>
      </c>
      <c r="S295" s="530">
        <v>69.139154209833663</v>
      </c>
      <c r="T295" s="530">
        <v>1336.3689238412678</v>
      </c>
      <c r="U295" s="530" t="s">
        <v>61</v>
      </c>
    </row>
    <row r="296" spans="1:21" ht="13.8" x14ac:dyDescent="0.3">
      <c r="A296" s="530" t="str">
        <f t="shared" si="8"/>
        <v>North Wales.2016.Vehicle Days.Non-Serviced Accommodation</v>
      </c>
      <c r="B296" s="530" t="s">
        <v>220</v>
      </c>
      <c r="C296" s="530" t="str">
        <f t="shared" si="9"/>
        <v>2016.Vehicle Days.Non-Serviced Accommodation</v>
      </c>
      <c r="D296" s="530" t="s">
        <v>233</v>
      </c>
      <c r="E296" s="530" t="s">
        <v>21</v>
      </c>
      <c r="F296" s="530" t="s">
        <v>48</v>
      </c>
      <c r="G296" s="530" t="s">
        <v>48</v>
      </c>
      <c r="H296" s="530">
        <v>133.51654123547667</v>
      </c>
      <c r="I296" s="530">
        <v>224.59553086384787</v>
      </c>
      <c r="J296" s="530">
        <v>922.63142243425375</v>
      </c>
      <c r="K296" s="530">
        <v>848.32776753496091</v>
      </c>
      <c r="L296" s="530">
        <v>942.4209054307903</v>
      </c>
      <c r="M296" s="530">
        <v>1231.7028774267503</v>
      </c>
      <c r="N296" s="530">
        <v>1508.5969864994768</v>
      </c>
      <c r="O296" s="530">
        <v>1513.3517954503061</v>
      </c>
      <c r="P296" s="530">
        <v>1022.8785819623407</v>
      </c>
      <c r="Q296" s="530">
        <v>793.24322545771224</v>
      </c>
      <c r="R296" s="530">
        <v>429.42915786258612</v>
      </c>
      <c r="S296" s="530">
        <v>256.9458405514016</v>
      </c>
      <c r="T296" s="530">
        <v>9827.6406327099048</v>
      </c>
      <c r="U296" s="530" t="s">
        <v>61</v>
      </c>
    </row>
    <row r="297" spans="1:21" ht="13.8" x14ac:dyDescent="0.3">
      <c r="A297" s="530" t="str">
        <f t="shared" si="8"/>
        <v>North Wales.2016.Vehicle Days.SFR</v>
      </c>
      <c r="B297" s="530" t="s">
        <v>220</v>
      </c>
      <c r="C297" s="530" t="str">
        <f t="shared" si="9"/>
        <v>2016.Vehicle Days.SFR</v>
      </c>
      <c r="D297" s="530" t="s">
        <v>233</v>
      </c>
      <c r="E297" s="530" t="s">
        <v>21</v>
      </c>
      <c r="F297" s="530" t="s">
        <v>18</v>
      </c>
      <c r="G297" s="530" t="s">
        <v>18</v>
      </c>
      <c r="H297" s="530">
        <v>109.30265795454545</v>
      </c>
      <c r="I297" s="530">
        <v>36.725693072727267</v>
      </c>
      <c r="J297" s="530">
        <v>41.777904818181817</v>
      </c>
      <c r="K297" s="530">
        <v>99.684024054545446</v>
      </c>
      <c r="L297" s="530">
        <v>64.124226000000007</v>
      </c>
      <c r="M297" s="530">
        <v>49.396057182818183</v>
      </c>
      <c r="N297" s="530">
        <v>80.155282499999998</v>
      </c>
      <c r="O297" s="530">
        <v>84.851896264909087</v>
      </c>
      <c r="P297" s="530">
        <v>43.705615072827271</v>
      </c>
      <c r="Q297" s="530">
        <v>43.66276843090909</v>
      </c>
      <c r="R297" s="530">
        <v>34.022273999318173</v>
      </c>
      <c r="S297" s="530">
        <v>98.518129036363646</v>
      </c>
      <c r="T297" s="530">
        <v>785.92652838714548</v>
      </c>
      <c r="U297" s="530" t="s">
        <v>61</v>
      </c>
    </row>
    <row r="298" spans="1:21" ht="13.8" x14ac:dyDescent="0.3">
      <c r="A298" s="530" t="str">
        <f t="shared" si="8"/>
        <v>North Wales.2016.Vehicle Days.Day Visitor</v>
      </c>
      <c r="B298" s="530" t="s">
        <v>220</v>
      </c>
      <c r="C298" s="530" t="str">
        <f t="shared" si="9"/>
        <v>2016.Vehicle Days.Day Visitor</v>
      </c>
      <c r="D298" s="530" t="s">
        <v>233</v>
      </c>
      <c r="E298" s="530" t="s">
        <v>21</v>
      </c>
      <c r="F298" s="530" t="s">
        <v>71</v>
      </c>
      <c r="G298" s="530" t="s">
        <v>71</v>
      </c>
      <c r="H298" s="530">
        <v>114.25830515998997</v>
      </c>
      <c r="I298" s="530">
        <v>195.09353336863938</v>
      </c>
      <c r="J298" s="530">
        <v>367.55214658781057</v>
      </c>
      <c r="K298" s="530">
        <v>388.3562016540198</v>
      </c>
      <c r="L298" s="530">
        <v>435.17830914514468</v>
      </c>
      <c r="M298" s="530">
        <v>525.01036039039673</v>
      </c>
      <c r="N298" s="530">
        <v>605.09876832784676</v>
      </c>
      <c r="O298" s="530">
        <v>799.14124331102983</v>
      </c>
      <c r="P298" s="530">
        <v>399.49924144058588</v>
      </c>
      <c r="Q298" s="530">
        <v>383.20775311301907</v>
      </c>
      <c r="R298" s="530">
        <v>188.09987662291329</v>
      </c>
      <c r="S298" s="530">
        <v>133.74349802759386</v>
      </c>
      <c r="T298" s="530">
        <v>4534.2392371489896</v>
      </c>
      <c r="U298" s="530" t="s">
        <v>61</v>
      </c>
    </row>
    <row r="299" spans="1:21" ht="13.8" x14ac:dyDescent="0.3">
      <c r="A299" s="530" t="str">
        <f t="shared" si="8"/>
        <v>North Wales.2016.Vehicle Days.Total</v>
      </c>
      <c r="B299" s="530" t="s">
        <v>220</v>
      </c>
      <c r="C299" s="530" t="str">
        <f t="shared" si="9"/>
        <v>2016.Vehicle Days.Total</v>
      </c>
      <c r="D299" s="530" t="s">
        <v>233</v>
      </c>
      <c r="E299" s="530" t="s">
        <v>21</v>
      </c>
      <c r="F299" s="530" t="s">
        <v>54</v>
      </c>
      <c r="G299" s="530" t="s">
        <v>54</v>
      </c>
      <c r="H299" s="530">
        <v>412.04826627633616</v>
      </c>
      <c r="I299" s="530">
        <v>553.39448143646257</v>
      </c>
      <c r="J299" s="530">
        <v>1441.4311131605266</v>
      </c>
      <c r="K299" s="530">
        <v>1444.3395995939845</v>
      </c>
      <c r="L299" s="530">
        <v>1581.9278101499292</v>
      </c>
      <c r="M299" s="530">
        <v>1940.4783218974276</v>
      </c>
      <c r="N299" s="530">
        <v>2328.1840393660837</v>
      </c>
      <c r="O299" s="530">
        <v>2551.1996412284852</v>
      </c>
      <c r="P299" s="530">
        <v>1593.9006616311076</v>
      </c>
      <c r="Q299" s="530">
        <v>1327.6543153159016</v>
      </c>
      <c r="R299" s="530">
        <v>751.27045020586854</v>
      </c>
      <c r="S299" s="530">
        <v>558.34662182519276</v>
      </c>
      <c r="T299" s="530">
        <v>16484.175322087307</v>
      </c>
      <c r="U299" s="530" t="s">
        <v>61</v>
      </c>
    </row>
    <row r="300" spans="1:21" ht="13.8" x14ac:dyDescent="0.3">
      <c r="A300" s="530" t="str">
        <f t="shared" si="8"/>
        <v>North Wales.2016.Vehicle Numbers.Serviced Accommodation</v>
      </c>
      <c r="B300" s="530" t="s">
        <v>220</v>
      </c>
      <c r="C300" s="530" t="str">
        <f t="shared" si="9"/>
        <v>2016.Vehicle Numbers.Serviced Accommodation</v>
      </c>
      <c r="D300" s="530" t="s">
        <v>233</v>
      </c>
      <c r="E300" s="530" t="s">
        <v>22</v>
      </c>
      <c r="F300" s="530" t="s">
        <v>43</v>
      </c>
      <c r="G300" s="530" t="s">
        <v>43</v>
      </c>
      <c r="H300" s="530">
        <v>35.528438329661597</v>
      </c>
      <c r="I300" s="530">
        <v>64.671965356386252</v>
      </c>
      <c r="J300" s="530">
        <v>53.199817842132653</v>
      </c>
      <c r="K300" s="530">
        <v>59.461975629305073</v>
      </c>
      <c r="L300" s="530">
        <v>74.607069748967604</v>
      </c>
      <c r="M300" s="530">
        <v>75.684849314668568</v>
      </c>
      <c r="N300" s="530">
        <v>78.023628967597361</v>
      </c>
      <c r="O300" s="530">
        <v>89.069833163462647</v>
      </c>
      <c r="P300" s="530">
        <v>65.466960139250972</v>
      </c>
      <c r="Q300" s="530">
        <v>62.300627399472496</v>
      </c>
      <c r="R300" s="530">
        <v>57.444878369327192</v>
      </c>
      <c r="S300" s="530">
        <v>42.173802099470009</v>
      </c>
      <c r="T300" s="530">
        <v>757.63384635970249</v>
      </c>
      <c r="U300" s="530" t="s">
        <v>61</v>
      </c>
    </row>
    <row r="301" spans="1:21" ht="13.8" x14ac:dyDescent="0.3">
      <c r="A301" s="530" t="str">
        <f t="shared" si="8"/>
        <v>North Wales.2016.Vehicle Numbers.Non-Serviced Accommodation</v>
      </c>
      <c r="B301" s="530" t="s">
        <v>220</v>
      </c>
      <c r="C301" s="530" t="str">
        <f t="shared" si="9"/>
        <v>2016.Vehicle Numbers.Non-Serviced Accommodation</v>
      </c>
      <c r="D301" s="530" t="s">
        <v>233</v>
      </c>
      <c r="E301" s="530" t="s">
        <v>22</v>
      </c>
      <c r="F301" s="530" t="s">
        <v>48</v>
      </c>
      <c r="G301" s="530" t="s">
        <v>48</v>
      </c>
      <c r="H301" s="530">
        <v>39.269570951610788</v>
      </c>
      <c r="I301" s="530">
        <v>56.148882715961967</v>
      </c>
      <c r="J301" s="530">
        <v>192.21487967380287</v>
      </c>
      <c r="K301" s="530">
        <v>132.55121367733764</v>
      </c>
      <c r="L301" s="530">
        <v>136.58273991750582</v>
      </c>
      <c r="M301" s="530">
        <v>175.95755391810724</v>
      </c>
      <c r="N301" s="530">
        <v>212.4784488027432</v>
      </c>
      <c r="O301" s="530">
        <v>199.12523624346136</v>
      </c>
      <c r="P301" s="530">
        <v>148.24327274816534</v>
      </c>
      <c r="Q301" s="530">
        <v>113.32046077967317</v>
      </c>
      <c r="R301" s="530">
        <v>95.428701747241362</v>
      </c>
      <c r="S301" s="530">
        <v>45.883185812750291</v>
      </c>
      <c r="T301" s="530">
        <v>1547.2041469883611</v>
      </c>
      <c r="U301" s="530" t="s">
        <v>61</v>
      </c>
    </row>
    <row r="302" spans="1:21" ht="13.8" x14ac:dyDescent="0.3">
      <c r="A302" s="530" t="str">
        <f t="shared" si="8"/>
        <v>North Wales.2016.Vehicle Numbers.SFR</v>
      </c>
      <c r="B302" s="530" t="s">
        <v>220</v>
      </c>
      <c r="C302" s="530" t="str">
        <f t="shared" si="9"/>
        <v>2016.Vehicle Numbers.SFR</v>
      </c>
      <c r="D302" s="530" t="s">
        <v>233</v>
      </c>
      <c r="E302" s="530" t="s">
        <v>22</v>
      </c>
      <c r="F302" s="530" t="s">
        <v>18</v>
      </c>
      <c r="G302" s="530" t="s">
        <v>18</v>
      </c>
      <c r="H302" s="530">
        <v>43.721063181818181</v>
      </c>
      <c r="I302" s="530">
        <v>17.48842527272727</v>
      </c>
      <c r="J302" s="530">
        <v>19.431583636363637</v>
      </c>
      <c r="K302" s="530">
        <v>36.920008909090903</v>
      </c>
      <c r="L302" s="530">
        <v>29.14737545454545</v>
      </c>
      <c r="M302" s="530">
        <v>23.521931991818178</v>
      </c>
      <c r="N302" s="530">
        <v>32.062112999999997</v>
      </c>
      <c r="O302" s="530">
        <v>32.635344717272723</v>
      </c>
      <c r="P302" s="530">
        <v>20.140836439090911</v>
      </c>
      <c r="Q302" s="530">
        <v>20.403162818181816</v>
      </c>
      <c r="R302" s="530">
        <v>16.75974088636363</v>
      </c>
      <c r="S302" s="530">
        <v>37.891588090909096</v>
      </c>
      <c r="T302" s="530">
        <v>330.12317439818185</v>
      </c>
      <c r="U302" s="530" t="s">
        <v>61</v>
      </c>
    </row>
    <row r="303" spans="1:21" ht="13.8" x14ac:dyDescent="0.3">
      <c r="A303" s="530" t="str">
        <f t="shared" si="8"/>
        <v>North Wales.2016.Vehicle Numbers.Day Visitor</v>
      </c>
      <c r="B303" s="530" t="s">
        <v>220</v>
      </c>
      <c r="C303" s="530" t="str">
        <f t="shared" si="9"/>
        <v>2016.Vehicle Numbers.Day Visitor</v>
      </c>
      <c r="D303" s="530" t="s">
        <v>233</v>
      </c>
      <c r="E303" s="530" t="s">
        <v>22</v>
      </c>
      <c r="F303" s="530" t="s">
        <v>71</v>
      </c>
      <c r="G303" s="530" t="s">
        <v>71</v>
      </c>
      <c r="H303" s="530">
        <v>114.25830515998997</v>
      </c>
      <c r="I303" s="530">
        <v>195.09353336863938</v>
      </c>
      <c r="J303" s="530">
        <v>367.55214658781057</v>
      </c>
      <c r="K303" s="530">
        <v>388.3562016540198</v>
      </c>
      <c r="L303" s="530">
        <v>435.17830914514468</v>
      </c>
      <c r="M303" s="530">
        <v>525.01036039039673</v>
      </c>
      <c r="N303" s="530">
        <v>605.09876832784676</v>
      </c>
      <c r="O303" s="530">
        <v>799.14124331102983</v>
      </c>
      <c r="P303" s="530">
        <v>399.49924144058588</v>
      </c>
      <c r="Q303" s="530">
        <v>383.20775311301907</v>
      </c>
      <c r="R303" s="530">
        <v>188.09987662291329</v>
      </c>
      <c r="S303" s="530">
        <v>133.74349802759386</v>
      </c>
      <c r="T303" s="530">
        <v>4534.2392371489896</v>
      </c>
      <c r="U303" s="530" t="s">
        <v>61</v>
      </c>
    </row>
    <row r="304" spans="1:21" ht="13.8" x14ac:dyDescent="0.3">
      <c r="A304" s="530" t="str">
        <f t="shared" si="8"/>
        <v>North Wales.2016.Vehicle Numbers.Total</v>
      </c>
      <c r="B304" s="530" t="s">
        <v>220</v>
      </c>
      <c r="C304" s="530" t="str">
        <f t="shared" si="9"/>
        <v>2016.Vehicle Numbers.Total</v>
      </c>
      <c r="D304" s="530" t="s">
        <v>233</v>
      </c>
      <c r="E304" s="530" t="s">
        <v>22</v>
      </c>
      <c r="F304" s="530" t="s">
        <v>54</v>
      </c>
      <c r="G304" s="530" t="s">
        <v>54</v>
      </c>
      <c r="H304" s="530">
        <v>232.77737762308053</v>
      </c>
      <c r="I304" s="530">
        <v>333.40280671371488</v>
      </c>
      <c r="J304" s="530">
        <v>632.3984277401097</v>
      </c>
      <c r="K304" s="530">
        <v>617.28939986975342</v>
      </c>
      <c r="L304" s="530">
        <v>675.51549426616361</v>
      </c>
      <c r="M304" s="530">
        <v>800.1746956149907</v>
      </c>
      <c r="N304" s="530">
        <v>927.66295909818734</v>
      </c>
      <c r="O304" s="530">
        <v>1119.9716574352265</v>
      </c>
      <c r="P304" s="530">
        <v>633.35031076709299</v>
      </c>
      <c r="Q304" s="530">
        <v>579.23200411034657</v>
      </c>
      <c r="R304" s="530">
        <v>357.73319762584543</v>
      </c>
      <c r="S304" s="530">
        <v>259.69207403072323</v>
      </c>
      <c r="T304" s="530">
        <v>7169.2004048952349</v>
      </c>
      <c r="U304" s="530" t="s">
        <v>61</v>
      </c>
    </row>
    <row r="305" spans="1:21" ht="13.8" x14ac:dyDescent="0.3">
      <c r="A305" s="530" t="str">
        <f t="shared" si="8"/>
        <v>North Wales.2016.Accommodation.Serviced Accommodation</v>
      </c>
      <c r="B305" s="530" t="s">
        <v>220</v>
      </c>
      <c r="C305" s="530" t="str">
        <f t="shared" si="9"/>
        <v>2016.Accommodation.Serviced Accommodation</v>
      </c>
      <c r="D305" s="530" t="s">
        <v>233</v>
      </c>
      <c r="E305" s="530" t="s">
        <v>23</v>
      </c>
      <c r="F305" s="530" t="s">
        <v>43</v>
      </c>
      <c r="G305" s="530" t="s">
        <v>43</v>
      </c>
      <c r="H305" s="530">
        <v>23048</v>
      </c>
      <c r="I305" s="530">
        <v>24056</v>
      </c>
      <c r="J305" s="530">
        <v>25323.599999999999</v>
      </c>
      <c r="K305" s="530">
        <v>25882.799999999999</v>
      </c>
      <c r="L305" s="530">
        <v>25877</v>
      </c>
      <c r="M305" s="530">
        <v>25886.799999999999</v>
      </c>
      <c r="N305" s="530">
        <v>25906.799999999999</v>
      </c>
      <c r="O305" s="530">
        <v>25906.799999999999</v>
      </c>
      <c r="P305" s="530">
        <v>25880.400000000001</v>
      </c>
      <c r="Q305" s="530">
        <v>25702.6</v>
      </c>
      <c r="R305" s="530">
        <v>24922.799999999999</v>
      </c>
      <c r="S305" s="530">
        <v>24022.2</v>
      </c>
      <c r="T305" s="530">
        <v>25906.799999999999</v>
      </c>
      <c r="U305" s="530" t="s">
        <v>58</v>
      </c>
    </row>
    <row r="306" spans="1:21" ht="13.8" x14ac:dyDescent="0.3">
      <c r="A306" s="530" t="str">
        <f t="shared" si="8"/>
        <v>North Wales.2016.Accommodation.Non-Serviced Accommodation</v>
      </c>
      <c r="B306" s="530" t="s">
        <v>220</v>
      </c>
      <c r="C306" s="530" t="str">
        <f t="shared" si="9"/>
        <v>2016.Accommodation.Non-Serviced Accommodation</v>
      </c>
      <c r="D306" s="530" t="s">
        <v>233</v>
      </c>
      <c r="E306" s="530" t="s">
        <v>23</v>
      </c>
      <c r="F306" s="530" t="s">
        <v>48</v>
      </c>
      <c r="G306" s="530" t="s">
        <v>48</v>
      </c>
      <c r="H306" s="530">
        <v>74473.787248451088</v>
      </c>
      <c r="I306" s="530">
        <v>79688.357596408721</v>
      </c>
      <c r="J306" s="530">
        <v>197785.86141512287</v>
      </c>
      <c r="K306" s="530">
        <v>225110.19041027626</v>
      </c>
      <c r="L306" s="530">
        <v>225659.84820541553</v>
      </c>
      <c r="M306" s="530">
        <v>226556.7042546412</v>
      </c>
      <c r="N306" s="530">
        <v>226997.8</v>
      </c>
      <c r="O306" s="530">
        <v>226997.8</v>
      </c>
      <c r="P306" s="530">
        <v>224931.78055390264</v>
      </c>
      <c r="Q306" s="530">
        <v>219348.67546365777</v>
      </c>
      <c r="R306" s="530">
        <v>132244.74026769062</v>
      </c>
      <c r="S306" s="530">
        <v>96912.523991061782</v>
      </c>
      <c r="T306" s="530">
        <v>226997.8</v>
      </c>
      <c r="U306" s="530" t="s">
        <v>58</v>
      </c>
    </row>
    <row r="307" spans="1:21" ht="13.8" x14ac:dyDescent="0.3">
      <c r="A307" s="530" t="str">
        <f t="shared" si="8"/>
        <v>North Wales.2016.Accommodation.Total</v>
      </c>
      <c r="B307" s="530" t="s">
        <v>220</v>
      </c>
      <c r="C307" s="530" t="str">
        <f t="shared" si="9"/>
        <v>2016.Accommodation.Total</v>
      </c>
      <c r="D307" s="530" t="s">
        <v>233</v>
      </c>
      <c r="E307" s="530" t="s">
        <v>23</v>
      </c>
      <c r="F307" s="530" t="s">
        <v>54</v>
      </c>
      <c r="G307" s="530" t="s">
        <v>54</v>
      </c>
      <c r="H307" s="530">
        <v>97521.787248451088</v>
      </c>
      <c r="I307" s="530">
        <v>103744.35759640872</v>
      </c>
      <c r="J307" s="530">
        <v>223109.46141512287</v>
      </c>
      <c r="K307" s="530">
        <v>250992.99041027628</v>
      </c>
      <c r="L307" s="530">
        <v>251536.84820541553</v>
      </c>
      <c r="M307" s="530">
        <v>252443.50425464119</v>
      </c>
      <c r="N307" s="530">
        <v>252904.59999999998</v>
      </c>
      <c r="O307" s="530">
        <v>252904.59999999998</v>
      </c>
      <c r="P307" s="530">
        <v>250812.18055390264</v>
      </c>
      <c r="Q307" s="530">
        <v>245051.27546365774</v>
      </c>
      <c r="R307" s="530">
        <v>157167.54026769064</v>
      </c>
      <c r="S307" s="530">
        <v>120934.72399106178</v>
      </c>
      <c r="T307" s="530">
        <v>252904.59999999998</v>
      </c>
      <c r="U307" s="530" t="s">
        <v>58</v>
      </c>
    </row>
    <row r="308" spans="1:21" ht="13.8" x14ac:dyDescent="0.3">
      <c r="A308" s="530" t="str">
        <f t="shared" si="8"/>
        <v>North Wales.2016.Economic Impact.Total</v>
      </c>
      <c r="B308" s="530" t="s">
        <v>220</v>
      </c>
      <c r="C308" s="530" t="str">
        <f t="shared" si="9"/>
        <v>2016.Economic Impact.Total</v>
      </c>
      <c r="D308" s="530" t="s">
        <v>233</v>
      </c>
      <c r="E308" s="530" t="s">
        <v>17</v>
      </c>
      <c r="F308" s="530" t="s">
        <v>54</v>
      </c>
      <c r="G308" s="530" t="s">
        <v>54</v>
      </c>
      <c r="H308" s="530">
        <v>74262.380115353051</v>
      </c>
      <c r="I308" s="530">
        <v>96359.261902905593</v>
      </c>
      <c r="J308" s="530">
        <v>234588.70969344105</v>
      </c>
      <c r="K308" s="530">
        <v>251227.92982259096</v>
      </c>
      <c r="L308" s="530">
        <v>274436.88609747915</v>
      </c>
      <c r="M308" s="530">
        <v>323211.24369841174</v>
      </c>
      <c r="N308" s="530">
        <v>439416.00878477213</v>
      </c>
      <c r="O308" s="530">
        <v>495089.31620605645</v>
      </c>
      <c r="P308" s="530">
        <v>318288.42054844607</v>
      </c>
      <c r="Q308" s="530">
        <v>221613.97874099514</v>
      </c>
      <c r="R308" s="530">
        <v>131310.1302970094</v>
      </c>
      <c r="S308" s="530">
        <v>103180.35072989925</v>
      </c>
      <c r="T308" s="530">
        <v>2962984.6166373598</v>
      </c>
      <c r="U308" s="530" t="s">
        <v>57</v>
      </c>
    </row>
    <row r="309" spans="1:21" ht="13.8" x14ac:dyDescent="0.3">
      <c r="A309" s="530" t="str">
        <f t="shared" si="8"/>
        <v>North Wales.2017.Economic Impact.Indirect Expenditure</v>
      </c>
      <c r="B309" s="530" t="s">
        <v>220</v>
      </c>
      <c r="C309" s="530" t="str">
        <f t="shared" si="9"/>
        <v>2017.Economic Impact.Indirect Expenditure</v>
      </c>
      <c r="D309" s="530" t="s">
        <v>234</v>
      </c>
      <c r="E309" s="530" t="s">
        <v>17</v>
      </c>
      <c r="F309" s="530" t="s">
        <v>45</v>
      </c>
      <c r="G309" s="530" t="s">
        <v>45</v>
      </c>
      <c r="H309" s="530">
        <v>22112.735053688099</v>
      </c>
      <c r="I309" s="530">
        <v>28574.962764545609</v>
      </c>
      <c r="J309" s="530">
        <v>57242.320378684701</v>
      </c>
      <c r="K309" s="530">
        <v>77805.428480696399</v>
      </c>
      <c r="L309" s="530">
        <v>74597.921622629496</v>
      </c>
      <c r="M309" s="530">
        <v>85382.228438515929</v>
      </c>
      <c r="N309" s="530">
        <v>113083.5437593339</v>
      </c>
      <c r="O309" s="530">
        <v>126219.33162603604</v>
      </c>
      <c r="P309" s="530">
        <v>83123.801056838623</v>
      </c>
      <c r="Q309" s="530">
        <v>63311.340380631227</v>
      </c>
      <c r="R309" s="530">
        <v>33900.617710620631</v>
      </c>
      <c r="S309" s="530">
        <v>28009.457066382332</v>
      </c>
      <c r="T309" s="530">
        <v>793363.68833860301</v>
      </c>
      <c r="U309" s="530" t="s">
        <v>57</v>
      </c>
    </row>
    <row r="310" spans="1:21" ht="13.8" x14ac:dyDescent="0.3">
      <c r="A310" s="530" t="str">
        <f t="shared" si="8"/>
        <v>North Wales.2017.Economic Impact.Direct Revenue</v>
      </c>
      <c r="B310" s="530" t="s">
        <v>220</v>
      </c>
      <c r="C310" s="530" t="str">
        <f t="shared" si="9"/>
        <v>2017.Economic Impact.Direct Revenue</v>
      </c>
      <c r="D310" s="530" t="s">
        <v>234</v>
      </c>
      <c r="E310" s="530" t="s">
        <v>17</v>
      </c>
      <c r="F310" s="530" t="s">
        <v>46</v>
      </c>
      <c r="G310" s="530" t="s">
        <v>46</v>
      </c>
      <c r="H310" s="530">
        <v>55511.210985145786</v>
      </c>
      <c r="I310" s="530">
        <v>70802.444718087834</v>
      </c>
      <c r="J310" s="530">
        <v>142828.10052453334</v>
      </c>
      <c r="K310" s="530">
        <v>191727.20539495908</v>
      </c>
      <c r="L310" s="530">
        <v>184772.56289891183</v>
      </c>
      <c r="M310" s="530">
        <v>209454.46619389876</v>
      </c>
      <c r="N310" s="530">
        <v>277961.88776817662</v>
      </c>
      <c r="O310" s="530">
        <v>307836.6363489629</v>
      </c>
      <c r="P310" s="530">
        <v>203362.68207911079</v>
      </c>
      <c r="Q310" s="530">
        <v>154413.73253489414</v>
      </c>
      <c r="R310" s="530">
        <v>84401.392791662598</v>
      </c>
      <c r="S310" s="530">
        <v>69809.847128654917</v>
      </c>
      <c r="T310" s="530">
        <v>1952882.1693669988</v>
      </c>
      <c r="U310" s="530" t="s">
        <v>57</v>
      </c>
    </row>
    <row r="311" spans="1:21" ht="13.8" x14ac:dyDescent="0.3">
      <c r="A311" s="530" t="str">
        <f t="shared" si="8"/>
        <v>North Wales.2017.Economic Impact.VAT</v>
      </c>
      <c r="B311" s="530" t="s">
        <v>220</v>
      </c>
      <c r="C311" s="530" t="str">
        <f t="shared" si="9"/>
        <v>2017.Economic Impact.VAT</v>
      </c>
      <c r="D311" s="530" t="s">
        <v>234</v>
      </c>
      <c r="E311" s="530" t="s">
        <v>17</v>
      </c>
      <c r="F311" s="530" t="s">
        <v>47</v>
      </c>
      <c r="G311" s="530" t="s">
        <v>47</v>
      </c>
      <c r="H311" s="530">
        <v>11102.242197029158</v>
      </c>
      <c r="I311" s="530">
        <v>14160.488943617565</v>
      </c>
      <c r="J311" s="530">
        <v>28565.620104906669</v>
      </c>
      <c r="K311" s="530">
        <v>38345.441078991811</v>
      </c>
      <c r="L311" s="530">
        <v>36954.512579782364</v>
      </c>
      <c r="M311" s="530">
        <v>41890.893238779747</v>
      </c>
      <c r="N311" s="530">
        <v>55592.377553635342</v>
      </c>
      <c r="O311" s="530">
        <v>61567.327269792579</v>
      </c>
      <c r="P311" s="530">
        <v>40672.536415822164</v>
      </c>
      <c r="Q311" s="530">
        <v>30882.746506978834</v>
      </c>
      <c r="R311" s="530">
        <v>16880.278558332524</v>
      </c>
      <c r="S311" s="530">
        <v>13961.969425730986</v>
      </c>
      <c r="T311" s="530">
        <v>390576.43387339974</v>
      </c>
      <c r="U311" s="530" t="s">
        <v>57</v>
      </c>
    </row>
    <row r="312" spans="1:21" ht="13.8" x14ac:dyDescent="0.3">
      <c r="A312" s="530" t="str">
        <f t="shared" si="8"/>
        <v>North Wales.2017.Economic Impact.Serviced Accommodation</v>
      </c>
      <c r="B312" s="530" t="s">
        <v>220</v>
      </c>
      <c r="C312" s="530" t="str">
        <f t="shared" si="9"/>
        <v>2017.Economic Impact.Serviced Accommodation</v>
      </c>
      <c r="D312" s="530" t="s">
        <v>234</v>
      </c>
      <c r="E312" s="530" t="s">
        <v>17</v>
      </c>
      <c r="F312" s="530" t="s">
        <v>43</v>
      </c>
      <c r="G312" s="530" t="s">
        <v>43</v>
      </c>
      <c r="H312" s="530">
        <v>23880.219156162311</v>
      </c>
      <c r="I312" s="530">
        <v>30506.84633178691</v>
      </c>
      <c r="J312" s="530">
        <v>32174.364869138361</v>
      </c>
      <c r="K312" s="530">
        <v>39552.582709062815</v>
      </c>
      <c r="L312" s="530">
        <v>42553.857447044487</v>
      </c>
      <c r="M312" s="530">
        <v>40847.497921908762</v>
      </c>
      <c r="N312" s="530">
        <v>63467.299852172335</v>
      </c>
      <c r="O312" s="530">
        <v>63877.660824187762</v>
      </c>
      <c r="P312" s="530">
        <v>55521.632812043077</v>
      </c>
      <c r="Q312" s="530">
        <v>33182.20170893109</v>
      </c>
      <c r="R312" s="530">
        <v>28364.845942015818</v>
      </c>
      <c r="S312" s="530">
        <v>25124.250295060701</v>
      </c>
      <c r="T312" s="530">
        <v>479053.25986951438</v>
      </c>
      <c r="U312" s="530" t="s">
        <v>57</v>
      </c>
    </row>
    <row r="313" spans="1:21" ht="13.8" x14ac:dyDescent="0.3">
      <c r="A313" s="530" t="str">
        <f t="shared" si="8"/>
        <v>North Wales.2017.Economic Impact.Non-Serviced Accommodation</v>
      </c>
      <c r="B313" s="530" t="s">
        <v>220</v>
      </c>
      <c r="C313" s="530" t="str">
        <f t="shared" si="9"/>
        <v>2017.Economic Impact.Non-Serviced Accommodation</v>
      </c>
      <c r="D313" s="530" t="s">
        <v>234</v>
      </c>
      <c r="E313" s="530" t="s">
        <v>17</v>
      </c>
      <c r="F313" s="530" t="s">
        <v>48</v>
      </c>
      <c r="G313" s="530" t="s">
        <v>48</v>
      </c>
      <c r="H313" s="530">
        <v>31127.453233630746</v>
      </c>
      <c r="I313" s="530">
        <v>46593.081179346736</v>
      </c>
      <c r="J313" s="530">
        <v>141207.38142383654</v>
      </c>
      <c r="K313" s="530">
        <v>165247.15601959178</v>
      </c>
      <c r="L313" s="530">
        <v>159915.13238123365</v>
      </c>
      <c r="M313" s="530">
        <v>201075.87982061383</v>
      </c>
      <c r="N313" s="530">
        <v>254191.44692204217</v>
      </c>
      <c r="O313" s="530">
        <v>270114.12393574766</v>
      </c>
      <c r="P313" s="530">
        <v>189853.36525106034</v>
      </c>
      <c r="Q313" s="530">
        <v>151441.64081232328</v>
      </c>
      <c r="R313" s="530">
        <v>72574.656141202198</v>
      </c>
      <c r="S313" s="530">
        <v>50817.819820521574</v>
      </c>
      <c r="T313" s="530">
        <v>1734159.1369411505</v>
      </c>
      <c r="U313" s="530" t="s">
        <v>57</v>
      </c>
    </row>
    <row r="314" spans="1:21" ht="13.8" x14ac:dyDescent="0.3">
      <c r="A314" s="530" t="str">
        <f t="shared" si="8"/>
        <v>North Wales.2017.Economic Impact.SFR</v>
      </c>
      <c r="B314" s="530" t="s">
        <v>220</v>
      </c>
      <c r="C314" s="530" t="str">
        <f t="shared" si="9"/>
        <v>2017.Economic Impact.SFR</v>
      </c>
      <c r="D314" s="530" t="s">
        <v>234</v>
      </c>
      <c r="E314" s="530" t="s">
        <v>17</v>
      </c>
      <c r="F314" s="530" t="s">
        <v>18</v>
      </c>
      <c r="G314" s="530" t="s">
        <v>18</v>
      </c>
      <c r="H314" s="530">
        <v>13874.692841158123</v>
      </c>
      <c r="I314" s="530">
        <v>4661.8967946291286</v>
      </c>
      <c r="J314" s="530">
        <v>5303.2159303982153</v>
      </c>
      <c r="K314" s="530">
        <v>12653.719871136207</v>
      </c>
      <c r="L314" s="530">
        <v>8139.8198001460987</v>
      </c>
      <c r="M314" s="530">
        <v>6270.2511887761793</v>
      </c>
      <c r="N314" s="530">
        <v>10174.774750182625</v>
      </c>
      <c r="O314" s="530">
        <v>10770.954885241808</v>
      </c>
      <c r="P314" s="530">
        <v>5547.916179875032</v>
      </c>
      <c r="Q314" s="530">
        <v>5542.4773002812981</v>
      </c>
      <c r="R314" s="530">
        <v>4318.7293916911512</v>
      </c>
      <c r="S314" s="530">
        <v>12505.723147497189</v>
      </c>
      <c r="T314" s="530">
        <v>99764.172081013065</v>
      </c>
      <c r="U314" s="530" t="s">
        <v>57</v>
      </c>
    </row>
    <row r="315" spans="1:21" ht="13.8" x14ac:dyDescent="0.3">
      <c r="A315" s="530" t="str">
        <f t="shared" si="8"/>
        <v>North Wales.2017.Economic Impact.Day Visitor</v>
      </c>
      <c r="B315" s="530" t="s">
        <v>220</v>
      </c>
      <c r="C315" s="530" t="str">
        <f t="shared" si="9"/>
        <v>2017.Economic Impact.Day Visitor</v>
      </c>
      <c r="D315" s="530" t="s">
        <v>234</v>
      </c>
      <c r="E315" s="530" t="s">
        <v>17</v>
      </c>
      <c r="F315" s="530" t="s">
        <v>71</v>
      </c>
      <c r="G315" s="530" t="s">
        <v>71</v>
      </c>
      <c r="H315" s="530">
        <v>19843.823004911868</v>
      </c>
      <c r="I315" s="530">
        <v>31776.072120488214</v>
      </c>
      <c r="J315" s="530">
        <v>49951.078784751597</v>
      </c>
      <c r="K315" s="530">
        <v>90424.616354856465</v>
      </c>
      <c r="L315" s="530">
        <v>85716.187472899444</v>
      </c>
      <c r="M315" s="530">
        <v>88533.958939895674</v>
      </c>
      <c r="N315" s="530">
        <v>118804.28755674878</v>
      </c>
      <c r="O315" s="530">
        <v>150860.55559961428</v>
      </c>
      <c r="P315" s="530">
        <v>76236.105308793136</v>
      </c>
      <c r="Q315" s="530">
        <v>58441.499600968527</v>
      </c>
      <c r="R315" s="530">
        <v>29924.057585706581</v>
      </c>
      <c r="S315" s="530">
        <v>23333.480357688779</v>
      </c>
      <c r="T315" s="530">
        <v>823845.72268732334</v>
      </c>
      <c r="U315" s="530" t="s">
        <v>57</v>
      </c>
    </row>
    <row r="316" spans="1:21" ht="13.8" x14ac:dyDescent="0.3">
      <c r="A316" s="530" t="str">
        <f t="shared" si="8"/>
        <v>North Wales.2017.Economic Impact.Accommodation</v>
      </c>
      <c r="B316" s="530" t="s">
        <v>220</v>
      </c>
      <c r="C316" s="530" t="str">
        <f t="shared" si="9"/>
        <v>2017.Economic Impact.Accommodation</v>
      </c>
      <c r="D316" s="530" t="s">
        <v>234</v>
      </c>
      <c r="E316" s="530" t="s">
        <v>17</v>
      </c>
      <c r="F316" s="530" t="s">
        <v>23</v>
      </c>
      <c r="G316" s="530" t="s">
        <v>23</v>
      </c>
      <c r="H316" s="530">
        <v>13330.804490923736</v>
      </c>
      <c r="I316" s="530">
        <v>17781.002717329498</v>
      </c>
      <c r="J316" s="530">
        <v>26313.148699197653</v>
      </c>
      <c r="K316" s="530">
        <v>31659.262846191112</v>
      </c>
      <c r="L316" s="530">
        <v>30815.531565842375</v>
      </c>
      <c r="M316" s="530">
        <v>35255.947267917603</v>
      </c>
      <c r="N316" s="530">
        <v>63493.692722451262</v>
      </c>
      <c r="O316" s="530">
        <v>67544.539899208699</v>
      </c>
      <c r="P316" s="530">
        <v>55706.054664611074</v>
      </c>
      <c r="Q316" s="530">
        <v>28313.829353129455</v>
      </c>
      <c r="R316" s="530">
        <v>19323.654297371504</v>
      </c>
      <c r="S316" s="530">
        <v>17013.855107832489</v>
      </c>
      <c r="T316" s="530">
        <v>406551.32363200642</v>
      </c>
      <c r="U316" s="530" t="s">
        <v>57</v>
      </c>
    </row>
    <row r="317" spans="1:21" ht="13.8" x14ac:dyDescent="0.3">
      <c r="A317" s="530" t="str">
        <f t="shared" si="8"/>
        <v>North Wales.2017.Economic Impact.Food &amp; Drink</v>
      </c>
      <c r="B317" s="530" t="s">
        <v>220</v>
      </c>
      <c r="C317" s="530" t="str">
        <f t="shared" si="9"/>
        <v>2017.Economic Impact.Food &amp; Drink</v>
      </c>
      <c r="D317" s="530" t="s">
        <v>234</v>
      </c>
      <c r="E317" s="530" t="s">
        <v>17</v>
      </c>
      <c r="F317" s="530" t="s">
        <v>49</v>
      </c>
      <c r="G317" s="530" t="s">
        <v>49</v>
      </c>
      <c r="H317" s="530">
        <v>14169.834967670735</v>
      </c>
      <c r="I317" s="530">
        <v>16419.837339995553</v>
      </c>
      <c r="J317" s="530">
        <v>37381.016122348243</v>
      </c>
      <c r="K317" s="530">
        <v>50513.732161068372</v>
      </c>
      <c r="L317" s="530">
        <v>49481.381746754567</v>
      </c>
      <c r="M317" s="530">
        <v>55159.960000639898</v>
      </c>
      <c r="N317" s="530">
        <v>68772.775057690655</v>
      </c>
      <c r="O317" s="530">
        <v>75739.7328504662</v>
      </c>
      <c r="P317" s="530">
        <v>47722.905262025277</v>
      </c>
      <c r="Q317" s="530">
        <v>41361.891547926018</v>
      </c>
      <c r="R317" s="530">
        <v>21218.058442187801</v>
      </c>
      <c r="S317" s="530">
        <v>17631.186278212928</v>
      </c>
      <c r="T317" s="530">
        <v>495572.31177698617</v>
      </c>
      <c r="U317" s="530" t="s">
        <v>57</v>
      </c>
    </row>
    <row r="318" spans="1:21" ht="13.8" x14ac:dyDescent="0.3">
      <c r="A318" s="530" t="str">
        <f t="shared" si="8"/>
        <v>North Wales.2017.Economic Impact.Recreation</v>
      </c>
      <c r="B318" s="530" t="s">
        <v>220</v>
      </c>
      <c r="C318" s="530" t="str">
        <f t="shared" si="9"/>
        <v>2017.Economic Impact.Recreation</v>
      </c>
      <c r="D318" s="530" t="s">
        <v>234</v>
      </c>
      <c r="E318" s="530" t="s">
        <v>17</v>
      </c>
      <c r="F318" s="530" t="s">
        <v>50</v>
      </c>
      <c r="G318" s="530" t="s">
        <v>50</v>
      </c>
      <c r="H318" s="530">
        <v>4025.3094366496771</v>
      </c>
      <c r="I318" s="530">
        <v>5515.8617606510898</v>
      </c>
      <c r="J318" s="530">
        <v>14260.631375919887</v>
      </c>
      <c r="K318" s="530">
        <v>16675.934562831237</v>
      </c>
      <c r="L318" s="530">
        <v>15664.893958611377</v>
      </c>
      <c r="M318" s="530">
        <v>19170.631560229733</v>
      </c>
      <c r="N318" s="530">
        <v>22363.563221104272</v>
      </c>
      <c r="O318" s="530">
        <v>24667.170144398282</v>
      </c>
      <c r="P318" s="530">
        <v>15281.041741414028</v>
      </c>
      <c r="Q318" s="530">
        <v>13526.893197766196</v>
      </c>
      <c r="R318" s="530">
        <v>7449.0436720873604</v>
      </c>
      <c r="S318" s="530">
        <v>5878.3077282230843</v>
      </c>
      <c r="T318" s="530">
        <v>164479.28235988622</v>
      </c>
      <c r="U318" s="530" t="s">
        <v>57</v>
      </c>
    </row>
    <row r="319" spans="1:21" ht="13.8" x14ac:dyDescent="0.3">
      <c r="A319" s="530" t="str">
        <f t="shared" si="8"/>
        <v>North Wales.2017.Economic Impact.Shopping</v>
      </c>
      <c r="B319" s="530" t="s">
        <v>220</v>
      </c>
      <c r="C319" s="530" t="str">
        <f t="shared" si="9"/>
        <v>2017.Economic Impact.Shopping</v>
      </c>
      <c r="D319" s="530" t="s">
        <v>234</v>
      </c>
      <c r="E319" s="530" t="s">
        <v>17</v>
      </c>
      <c r="F319" s="530" t="s">
        <v>51</v>
      </c>
      <c r="G319" s="530" t="s">
        <v>51</v>
      </c>
      <c r="H319" s="530">
        <v>18380.361019833366</v>
      </c>
      <c r="I319" s="530">
        <v>23678.303771414834</v>
      </c>
      <c r="J319" s="530">
        <v>47400.444530574699</v>
      </c>
      <c r="K319" s="530">
        <v>69701.951508108585</v>
      </c>
      <c r="L319" s="530">
        <v>66711.172526796727</v>
      </c>
      <c r="M319" s="530">
        <v>74147.289912153879</v>
      </c>
      <c r="N319" s="530">
        <v>92263.787326898848</v>
      </c>
      <c r="O319" s="530">
        <v>105573.1858991442</v>
      </c>
      <c r="P319" s="530">
        <v>63442.10821089409</v>
      </c>
      <c r="Q319" s="530">
        <v>52985.880884230952</v>
      </c>
      <c r="R319" s="530">
        <v>26968.914217430291</v>
      </c>
      <c r="S319" s="530">
        <v>21903.948302917241</v>
      </c>
      <c r="T319" s="530">
        <v>663157.34811039758</v>
      </c>
      <c r="U319" s="530" t="s">
        <v>57</v>
      </c>
    </row>
    <row r="320" spans="1:21" ht="13.8" x14ac:dyDescent="0.3">
      <c r="A320" s="530" t="str">
        <f t="shared" si="8"/>
        <v>North Wales.2017.Economic Impact.Transport</v>
      </c>
      <c r="B320" s="530" t="s">
        <v>220</v>
      </c>
      <c r="C320" s="530" t="str">
        <f t="shared" si="9"/>
        <v>2017.Economic Impact.Transport</v>
      </c>
      <c r="D320" s="530" t="s">
        <v>234</v>
      </c>
      <c r="E320" s="530" t="s">
        <v>17</v>
      </c>
      <c r="F320" s="530" t="s">
        <v>52</v>
      </c>
      <c r="G320" s="530" t="s">
        <v>52</v>
      </c>
      <c r="H320" s="530">
        <v>5604.9010700682757</v>
      </c>
      <c r="I320" s="530">
        <v>7407.4391286968475</v>
      </c>
      <c r="J320" s="530">
        <v>17472.859796492863</v>
      </c>
      <c r="K320" s="530">
        <v>23176.32431675975</v>
      </c>
      <c r="L320" s="530">
        <v>22099.583100906766</v>
      </c>
      <c r="M320" s="530">
        <v>25720.637452957635</v>
      </c>
      <c r="N320" s="530">
        <v>31068.069440031657</v>
      </c>
      <c r="O320" s="530">
        <v>34312.007555745477</v>
      </c>
      <c r="P320" s="530">
        <v>21210.572200166334</v>
      </c>
      <c r="Q320" s="530">
        <v>18225.237551841514</v>
      </c>
      <c r="R320" s="530">
        <v>9441.7221625856564</v>
      </c>
      <c r="S320" s="530">
        <v>7382.5497114691852</v>
      </c>
      <c r="T320" s="530">
        <v>223121.90348772192</v>
      </c>
      <c r="U320" s="530" t="s">
        <v>57</v>
      </c>
    </row>
    <row r="321" spans="1:21" ht="13.8" x14ac:dyDescent="0.3">
      <c r="A321" s="530" t="str">
        <f t="shared" si="8"/>
        <v>North Wales.2017.Economic Impact.Direct Expenditure</v>
      </c>
      <c r="B321" s="530" t="s">
        <v>220</v>
      </c>
      <c r="C321" s="530" t="str">
        <f t="shared" si="9"/>
        <v>2017.Economic Impact.Direct Expenditure</v>
      </c>
      <c r="D321" s="530" t="s">
        <v>234</v>
      </c>
      <c r="E321" s="530" t="s">
        <v>17</v>
      </c>
      <c r="F321" s="530" t="s">
        <v>44</v>
      </c>
      <c r="G321" s="530" t="s">
        <v>44</v>
      </c>
      <c r="H321" s="530">
        <v>66613.453182174941</v>
      </c>
      <c r="I321" s="530">
        <v>84962.933661705378</v>
      </c>
      <c r="J321" s="530">
        <v>171393.72062944001</v>
      </c>
      <c r="K321" s="530">
        <v>230072.64647395091</v>
      </c>
      <c r="L321" s="530">
        <v>221727.07547869417</v>
      </c>
      <c r="M321" s="530">
        <v>251345.3594326785</v>
      </c>
      <c r="N321" s="530">
        <v>333554.26532181201</v>
      </c>
      <c r="O321" s="530">
        <v>369403.96361875546</v>
      </c>
      <c r="P321" s="530">
        <v>244035.21849493298</v>
      </c>
      <c r="Q321" s="530">
        <v>185296.47904187295</v>
      </c>
      <c r="R321" s="530">
        <v>101281.67134999513</v>
      </c>
      <c r="S321" s="530">
        <v>83771.816554385907</v>
      </c>
      <c r="T321" s="530">
        <v>2343458.6032403982</v>
      </c>
      <c r="U321" s="530" t="s">
        <v>57</v>
      </c>
    </row>
    <row r="322" spans="1:21" ht="13.8" x14ac:dyDescent="0.3">
      <c r="A322" s="530" t="str">
        <f t="shared" si="8"/>
        <v>North Wales.2017.Population.Total</v>
      </c>
      <c r="B322" s="530" t="s">
        <v>220</v>
      </c>
      <c r="C322" s="530" t="str">
        <f t="shared" si="9"/>
        <v>2017.Population.Total</v>
      </c>
      <c r="D322" s="530" t="s">
        <v>234</v>
      </c>
      <c r="E322" s="530" t="s">
        <v>19</v>
      </c>
      <c r="F322" s="530" t="s">
        <v>54</v>
      </c>
      <c r="G322" s="530" t="s">
        <v>54</v>
      </c>
      <c r="H322" s="530">
        <v>291129</v>
      </c>
      <c r="I322" s="530">
        <v>291129</v>
      </c>
      <c r="J322" s="530">
        <v>291129</v>
      </c>
      <c r="K322" s="530">
        <v>291129</v>
      </c>
      <c r="L322" s="530">
        <v>291129</v>
      </c>
      <c r="M322" s="530">
        <v>291129</v>
      </c>
      <c r="N322" s="530">
        <v>291129</v>
      </c>
      <c r="O322" s="530">
        <v>291129</v>
      </c>
      <c r="P322" s="530">
        <v>291129</v>
      </c>
      <c r="Q322" s="530">
        <v>291129</v>
      </c>
      <c r="R322" s="530">
        <v>291129</v>
      </c>
      <c r="S322" s="530">
        <v>291129</v>
      </c>
      <c r="T322" s="530">
        <v>291129</v>
      </c>
      <c r="U322" s="530" t="s">
        <v>60</v>
      </c>
    </row>
    <row r="323" spans="1:21" ht="13.8" x14ac:dyDescent="0.3">
      <c r="A323" s="530" t="str">
        <f t="shared" si="8"/>
        <v>North Wales.2017.Employment.Serviced Accommodation</v>
      </c>
      <c r="B323" s="530" t="s">
        <v>220</v>
      </c>
      <c r="C323" s="530" t="str">
        <f t="shared" si="9"/>
        <v>2017.Employment.Serviced Accommodation</v>
      </c>
      <c r="D323" s="530" t="s">
        <v>234</v>
      </c>
      <c r="E323" s="530" t="s">
        <v>20</v>
      </c>
      <c r="F323" s="530" t="s">
        <v>43</v>
      </c>
      <c r="G323" s="530" t="s">
        <v>43</v>
      </c>
      <c r="H323" s="530">
        <v>5771.4787730183898</v>
      </c>
      <c r="I323" s="530">
        <v>6355.9510931289105</v>
      </c>
      <c r="J323" s="530">
        <v>6731.3928266191861</v>
      </c>
      <c r="K323" s="530">
        <v>7243.3631475671436</v>
      </c>
      <c r="L323" s="530">
        <v>7406.8220127473232</v>
      </c>
      <c r="M323" s="530">
        <v>7317.1450917146622</v>
      </c>
      <c r="N323" s="530">
        <v>7710.3327065831236</v>
      </c>
      <c r="O323" s="530">
        <v>7786.7157157824013</v>
      </c>
      <c r="P323" s="530">
        <v>7335.5514361460973</v>
      </c>
      <c r="Q323" s="530">
        <v>6867.0112667668755</v>
      </c>
      <c r="R323" s="530">
        <v>6359.3701295695255</v>
      </c>
      <c r="S323" s="530">
        <v>6045.6699280942721</v>
      </c>
      <c r="T323" s="530">
        <v>6910.9003439781591</v>
      </c>
      <c r="U323" s="530" t="s">
        <v>59</v>
      </c>
    </row>
    <row r="324" spans="1:21" ht="13.8" x14ac:dyDescent="0.3">
      <c r="A324" s="530" t="str">
        <f t="shared" si="8"/>
        <v>North Wales.2017.Employment.Non-Serviced Accommodation</v>
      </c>
      <c r="B324" s="530" t="s">
        <v>220</v>
      </c>
      <c r="C324" s="530" t="str">
        <f t="shared" si="9"/>
        <v>2017.Employment.Non-Serviced Accommodation</v>
      </c>
      <c r="D324" s="530" t="s">
        <v>234</v>
      </c>
      <c r="E324" s="530" t="s">
        <v>20</v>
      </c>
      <c r="F324" s="530" t="s">
        <v>48</v>
      </c>
      <c r="G324" s="530" t="s">
        <v>48</v>
      </c>
      <c r="H324" s="530">
        <v>7218.6240081365067</v>
      </c>
      <c r="I324" s="530">
        <v>8635.7326252161638</v>
      </c>
      <c r="J324" s="530">
        <v>19127.285585317215</v>
      </c>
      <c r="K324" s="530">
        <v>21732.213169206098</v>
      </c>
      <c r="L324" s="530">
        <v>21577.582571852592</v>
      </c>
      <c r="M324" s="530">
        <v>25361.902421345974</v>
      </c>
      <c r="N324" s="530">
        <v>28627.848699835144</v>
      </c>
      <c r="O324" s="530">
        <v>31769.269673416467</v>
      </c>
      <c r="P324" s="530">
        <v>21861.017021410687</v>
      </c>
      <c r="Q324" s="530">
        <v>20120.98844230879</v>
      </c>
      <c r="R324" s="530">
        <v>11551.070356410741</v>
      </c>
      <c r="S324" s="530">
        <v>9024.4921988720234</v>
      </c>
      <c r="T324" s="530">
        <v>18884.002231110706</v>
      </c>
      <c r="U324" s="530" t="s">
        <v>59</v>
      </c>
    </row>
    <row r="325" spans="1:21" ht="13.8" x14ac:dyDescent="0.3">
      <c r="A325" s="530" t="str">
        <f t="shared" si="8"/>
        <v>North Wales.2017.Employment.SFR</v>
      </c>
      <c r="B325" s="530" t="s">
        <v>220</v>
      </c>
      <c r="C325" s="530" t="str">
        <f t="shared" si="9"/>
        <v>2017.Employment.SFR</v>
      </c>
      <c r="D325" s="530" t="s">
        <v>234</v>
      </c>
      <c r="E325" s="530" t="s">
        <v>20</v>
      </c>
      <c r="F325" s="530" t="s">
        <v>18</v>
      </c>
      <c r="G325" s="530" t="s">
        <v>18</v>
      </c>
      <c r="H325" s="530">
        <v>1695.2397055982951</v>
      </c>
      <c r="I325" s="530">
        <v>569.60054108102713</v>
      </c>
      <c r="J325" s="530">
        <v>647.95828747312612</v>
      </c>
      <c r="K325" s="530">
        <v>1546.0586115056453</v>
      </c>
      <c r="L325" s="530">
        <v>994.54062728433337</v>
      </c>
      <c r="M325" s="530">
        <v>766.11272775398163</v>
      </c>
      <c r="N325" s="530">
        <v>1243.1757841054164</v>
      </c>
      <c r="O325" s="530">
        <v>1316.0183506553024</v>
      </c>
      <c r="P325" s="530">
        <v>677.85628836092678</v>
      </c>
      <c r="Q325" s="530">
        <v>677.19175439633227</v>
      </c>
      <c r="R325" s="530">
        <v>527.67161236256266</v>
      </c>
      <c r="S325" s="530">
        <v>1527.9760546459302</v>
      </c>
      <c r="T325" s="530">
        <v>1015.7833621019066</v>
      </c>
      <c r="U325" s="530" t="s">
        <v>59</v>
      </c>
    </row>
    <row r="326" spans="1:21" ht="13.8" x14ac:dyDescent="0.3">
      <c r="A326" s="530" t="str">
        <f t="shared" si="8"/>
        <v>North Wales.2017.Employment.Day Visitor</v>
      </c>
      <c r="B326" s="530" t="s">
        <v>220</v>
      </c>
      <c r="C326" s="530" t="str">
        <f t="shared" si="9"/>
        <v>2017.Employment.Day Visitor</v>
      </c>
      <c r="D326" s="530" t="s">
        <v>234</v>
      </c>
      <c r="E326" s="530" t="s">
        <v>20</v>
      </c>
      <c r="F326" s="530" t="s">
        <v>71</v>
      </c>
      <c r="G326" s="530" t="s">
        <v>71</v>
      </c>
      <c r="H326" s="530">
        <v>2277.099720293777</v>
      </c>
      <c r="I326" s="530">
        <v>3610.7627642001212</v>
      </c>
      <c r="J326" s="530">
        <v>5702.1930012378089</v>
      </c>
      <c r="K326" s="530">
        <v>10238.057073722532</v>
      </c>
      <c r="L326" s="530">
        <v>9715.19041203489</v>
      </c>
      <c r="M326" s="530">
        <v>10034.282991364998</v>
      </c>
      <c r="N326" s="530">
        <v>13486.790140078891</v>
      </c>
      <c r="O326" s="530">
        <v>17113.77704470585</v>
      </c>
      <c r="P326" s="530">
        <v>8644.0957844552049</v>
      </c>
      <c r="Q326" s="530">
        <v>6660.223717792087</v>
      </c>
      <c r="R326" s="530">
        <v>3420.8798833206824</v>
      </c>
      <c r="S326" s="530">
        <v>2682.2648648741242</v>
      </c>
      <c r="T326" s="530">
        <v>7798.8014498400807</v>
      </c>
      <c r="U326" s="530" t="s">
        <v>59</v>
      </c>
    </row>
    <row r="327" spans="1:21" ht="13.8" x14ac:dyDescent="0.3">
      <c r="A327" s="530" t="str">
        <f t="shared" si="8"/>
        <v>North Wales.2017.Employment.Direct Employment</v>
      </c>
      <c r="B327" s="530" t="s">
        <v>220</v>
      </c>
      <c r="C327" s="530" t="str">
        <f t="shared" si="9"/>
        <v>2017.Employment.Direct Employment</v>
      </c>
      <c r="D327" s="530" t="s">
        <v>234</v>
      </c>
      <c r="E327" s="530" t="s">
        <v>20</v>
      </c>
      <c r="F327" s="530" t="s">
        <v>55</v>
      </c>
      <c r="G327" s="530" t="s">
        <v>55</v>
      </c>
      <c r="H327" s="530">
        <v>16962.442207046966</v>
      </c>
      <c r="I327" s="530">
        <v>19172.047023626223</v>
      </c>
      <c r="J327" s="530">
        <v>32208.829700647337</v>
      </c>
      <c r="K327" s="530">
        <v>40759.692002001422</v>
      </c>
      <c r="L327" s="530">
        <v>39694.135623919137</v>
      </c>
      <c r="M327" s="530">
        <v>43479.443232179612</v>
      </c>
      <c r="N327" s="530">
        <v>51068.147330602573</v>
      </c>
      <c r="O327" s="530">
        <v>57985.780784560018</v>
      </c>
      <c r="P327" s="530">
        <v>38518.520530372916</v>
      </c>
      <c r="Q327" s="530">
        <v>34325.415181264085</v>
      </c>
      <c r="R327" s="530">
        <v>21858.991981663512</v>
      </c>
      <c r="S327" s="530">
        <v>19280.40304648635</v>
      </c>
      <c r="T327" s="530">
        <v>34609.487387030851</v>
      </c>
      <c r="U327" s="530" t="s">
        <v>59</v>
      </c>
    </row>
    <row r="328" spans="1:21" ht="13.8" x14ac:dyDescent="0.3">
      <c r="A328" s="530" t="str">
        <f t="shared" si="8"/>
        <v>North Wales.2017.Employment.Indirect Employment</v>
      </c>
      <c r="B328" s="530" t="s">
        <v>220</v>
      </c>
      <c r="C328" s="530" t="str">
        <f t="shared" si="9"/>
        <v>2017.Employment.Indirect Employment</v>
      </c>
      <c r="D328" s="530" t="s">
        <v>234</v>
      </c>
      <c r="E328" s="530" t="s">
        <v>20</v>
      </c>
      <c r="F328" s="530" t="s">
        <v>53</v>
      </c>
      <c r="G328" s="530" t="s">
        <v>53</v>
      </c>
      <c r="H328" s="530">
        <v>2832.7049728501743</v>
      </c>
      <c r="I328" s="530">
        <v>3660.5349327258596</v>
      </c>
      <c r="J328" s="530">
        <v>7332.905911480113</v>
      </c>
      <c r="K328" s="530">
        <v>9967.0992139548816</v>
      </c>
      <c r="L328" s="530">
        <v>9556.2083582901632</v>
      </c>
      <c r="M328" s="530">
        <v>10937.709084995087</v>
      </c>
      <c r="N328" s="530">
        <v>14486.327266927496</v>
      </c>
      <c r="O328" s="530">
        <v>16169.059480829101</v>
      </c>
      <c r="P328" s="530">
        <v>10648.398040505755</v>
      </c>
      <c r="Q328" s="530">
        <v>8110.364832690032</v>
      </c>
      <c r="R328" s="530">
        <v>4342.7666518145707</v>
      </c>
      <c r="S328" s="530">
        <v>3588.0920259812651</v>
      </c>
      <c r="T328" s="530">
        <v>8469.3475644203736</v>
      </c>
      <c r="U328" s="530" t="s">
        <v>59</v>
      </c>
    </row>
    <row r="329" spans="1:21" ht="13.8" x14ac:dyDescent="0.3">
      <c r="A329" s="530" t="str">
        <f t="shared" ref="A329:A392" si="10">B329&amp;"."&amp;D329&amp;"."&amp;E329&amp;"."&amp;F329</f>
        <v>North Wales.2017.Employment.Total</v>
      </c>
      <c r="B329" s="530" t="s">
        <v>220</v>
      </c>
      <c r="C329" s="530" t="str">
        <f t="shared" ref="C329:C392" si="11">D329&amp;"."&amp;E329&amp;"."&amp;F329</f>
        <v>2017.Employment.Total</v>
      </c>
      <c r="D329" s="530" t="s">
        <v>234</v>
      </c>
      <c r="E329" s="530" t="s">
        <v>20</v>
      </c>
      <c r="F329" s="530" t="s">
        <v>54</v>
      </c>
      <c r="G329" s="530" t="s">
        <v>54</v>
      </c>
      <c r="H329" s="530">
        <v>19795.14717989714</v>
      </c>
      <c r="I329" s="530">
        <v>22832.581956352082</v>
      </c>
      <c r="J329" s="530">
        <v>39541.73561212745</v>
      </c>
      <c r="K329" s="530">
        <v>50726.791215956306</v>
      </c>
      <c r="L329" s="530">
        <v>49250.343982209299</v>
      </c>
      <c r="M329" s="530">
        <v>54417.152317174696</v>
      </c>
      <c r="N329" s="530">
        <v>65554.474597530061</v>
      </c>
      <c r="O329" s="530">
        <v>74154.840265389124</v>
      </c>
      <c r="P329" s="530">
        <v>49166.918570878668</v>
      </c>
      <c r="Q329" s="530">
        <v>42435.780013954114</v>
      </c>
      <c r="R329" s="530">
        <v>26201.758633478083</v>
      </c>
      <c r="S329" s="530">
        <v>22868.495072467616</v>
      </c>
      <c r="T329" s="530">
        <v>43078.834951451223</v>
      </c>
      <c r="U329" s="530" t="s">
        <v>59</v>
      </c>
    </row>
    <row r="330" spans="1:21" ht="13.8" x14ac:dyDescent="0.3">
      <c r="A330" s="530" t="str">
        <f t="shared" si="10"/>
        <v>North Wales.2017.Employment.Accommodation</v>
      </c>
      <c r="B330" s="530" t="s">
        <v>220</v>
      </c>
      <c r="C330" s="530" t="str">
        <f t="shared" si="11"/>
        <v>2017.Employment.Accommodation</v>
      </c>
      <c r="D330" s="530" t="s">
        <v>234</v>
      </c>
      <c r="E330" s="530" t="s">
        <v>20</v>
      </c>
      <c r="F330" s="530" t="s">
        <v>23</v>
      </c>
      <c r="G330" s="530" t="s">
        <v>23</v>
      </c>
      <c r="H330" s="530">
        <v>8997.0207183908042</v>
      </c>
      <c r="I330" s="530">
        <v>9254.1292020011351</v>
      </c>
      <c r="J330" s="530">
        <v>10335.220423054423</v>
      </c>
      <c r="K330" s="530">
        <v>10832.369375943565</v>
      </c>
      <c r="L330" s="530">
        <v>10856.072689084443</v>
      </c>
      <c r="M330" s="530">
        <v>10892.416935275023</v>
      </c>
      <c r="N330" s="530">
        <v>10903.465122476815</v>
      </c>
      <c r="O330" s="530">
        <v>13040.031282755674</v>
      </c>
      <c r="P330" s="530">
        <v>10832.863979232434</v>
      </c>
      <c r="Q330" s="530">
        <v>10630.799396551723</v>
      </c>
      <c r="R330" s="530">
        <v>9618.345775862068</v>
      </c>
      <c r="S330" s="530">
        <v>9307.7174425287358</v>
      </c>
      <c r="T330" s="530">
        <v>10458.371028596404</v>
      </c>
      <c r="U330" s="530" t="s">
        <v>59</v>
      </c>
    </row>
    <row r="331" spans="1:21" ht="13.8" x14ac:dyDescent="0.3">
      <c r="A331" s="530" t="str">
        <f t="shared" si="10"/>
        <v>North Wales.2017.Employment.Food &amp; Drink</v>
      </c>
      <c r="B331" s="530" t="s">
        <v>220</v>
      </c>
      <c r="C331" s="530" t="str">
        <f t="shared" si="11"/>
        <v>2017.Employment.Food &amp; Drink</v>
      </c>
      <c r="D331" s="530" t="s">
        <v>234</v>
      </c>
      <c r="E331" s="530" t="s">
        <v>20</v>
      </c>
      <c r="F331" s="530" t="s">
        <v>49</v>
      </c>
      <c r="G331" s="530" t="s">
        <v>49</v>
      </c>
      <c r="H331" s="530">
        <v>3352.1193125866307</v>
      </c>
      <c r="I331" s="530">
        <v>3884.396253203362</v>
      </c>
      <c r="J331" s="530">
        <v>8843.1252977700497</v>
      </c>
      <c r="K331" s="530">
        <v>11949.896206573827</v>
      </c>
      <c r="L331" s="530">
        <v>11705.675877326974</v>
      </c>
      <c r="M331" s="530">
        <v>13049.0416876073</v>
      </c>
      <c r="N331" s="530">
        <v>16269.388315180684</v>
      </c>
      <c r="O331" s="530">
        <v>17917.542568241675</v>
      </c>
      <c r="P331" s="530">
        <v>11289.677878857732</v>
      </c>
      <c r="Q331" s="530">
        <v>9784.8701681603343</v>
      </c>
      <c r="R331" s="530">
        <v>5019.4983669129679</v>
      </c>
      <c r="S331" s="530">
        <v>4170.9617763265469</v>
      </c>
      <c r="T331" s="530">
        <v>9769.6828090623403</v>
      </c>
      <c r="U331" s="530" t="s">
        <v>59</v>
      </c>
    </row>
    <row r="332" spans="1:21" ht="13.8" x14ac:dyDescent="0.3">
      <c r="A332" s="530" t="str">
        <f t="shared" si="10"/>
        <v>North Wales.2017.Employment.Recreation</v>
      </c>
      <c r="B332" s="530" t="s">
        <v>220</v>
      </c>
      <c r="C332" s="530" t="str">
        <f t="shared" si="11"/>
        <v>2017.Employment.Recreation</v>
      </c>
      <c r="D332" s="530" t="s">
        <v>234</v>
      </c>
      <c r="E332" s="530" t="s">
        <v>20</v>
      </c>
      <c r="F332" s="530" t="s">
        <v>50</v>
      </c>
      <c r="G332" s="530" t="s">
        <v>50</v>
      </c>
      <c r="H332" s="530">
        <v>907.24900664198617</v>
      </c>
      <c r="I332" s="530">
        <v>1243.1988600832476</v>
      </c>
      <c r="J332" s="530">
        <v>3214.1488383708697</v>
      </c>
      <c r="K332" s="530">
        <v>3758.5247308459529</v>
      </c>
      <c r="L332" s="530">
        <v>3530.6501790160619</v>
      </c>
      <c r="M332" s="530">
        <v>4320.794888800895</v>
      </c>
      <c r="N332" s="530">
        <v>5040.4374711150649</v>
      </c>
      <c r="O332" s="530">
        <v>5559.6385724822139</v>
      </c>
      <c r="P332" s="530">
        <v>3444.1352046444335</v>
      </c>
      <c r="Q332" s="530">
        <v>3048.7744134373925</v>
      </c>
      <c r="R332" s="530">
        <v>1678.9112932294033</v>
      </c>
      <c r="S332" s="530">
        <v>1324.8891622118645</v>
      </c>
      <c r="T332" s="530">
        <v>3089.2793850732814</v>
      </c>
      <c r="U332" s="530" t="s">
        <v>59</v>
      </c>
    </row>
    <row r="333" spans="1:21" ht="13.8" x14ac:dyDescent="0.3">
      <c r="A333" s="530" t="str">
        <f t="shared" si="10"/>
        <v>North Wales.2017.Employment.Shopping</v>
      </c>
      <c r="B333" s="530" t="s">
        <v>220</v>
      </c>
      <c r="C333" s="530" t="str">
        <f t="shared" si="11"/>
        <v>2017.Employment.Shopping</v>
      </c>
      <c r="D333" s="530" t="s">
        <v>234</v>
      </c>
      <c r="E333" s="530" t="s">
        <v>20</v>
      </c>
      <c r="F333" s="530" t="s">
        <v>51</v>
      </c>
      <c r="G333" s="530" t="s">
        <v>51</v>
      </c>
      <c r="H333" s="530">
        <v>3225.2735672848871</v>
      </c>
      <c r="I333" s="530">
        <v>4154.9242253555403</v>
      </c>
      <c r="J333" s="530">
        <v>8317.5406977616622</v>
      </c>
      <c r="K333" s="530">
        <v>12230.873025001858</v>
      </c>
      <c r="L333" s="530">
        <v>11706.069383571325</v>
      </c>
      <c r="M333" s="530">
        <v>13010.913876034809</v>
      </c>
      <c r="N333" s="530">
        <v>16189.886268389464</v>
      </c>
      <c r="O333" s="530">
        <v>18525.3382959749</v>
      </c>
      <c r="P333" s="530">
        <v>11132.433930140465</v>
      </c>
      <c r="Q333" s="530">
        <v>9297.6389784081057</v>
      </c>
      <c r="R333" s="530">
        <v>4732.3404621918598</v>
      </c>
      <c r="S333" s="530">
        <v>3843.5711575165833</v>
      </c>
      <c r="T333" s="530">
        <v>9697.2336556359551</v>
      </c>
      <c r="U333" s="530" t="s">
        <v>59</v>
      </c>
    </row>
    <row r="334" spans="1:21" ht="13.8" x14ac:dyDescent="0.3">
      <c r="A334" s="530" t="str">
        <f t="shared" si="10"/>
        <v>North Wales.2017.Employment.Transport</v>
      </c>
      <c r="B334" s="530" t="s">
        <v>220</v>
      </c>
      <c r="C334" s="530" t="str">
        <f t="shared" si="11"/>
        <v>2017.Employment.Transport</v>
      </c>
      <c r="D334" s="530" t="s">
        <v>234</v>
      </c>
      <c r="E334" s="530" t="s">
        <v>20</v>
      </c>
      <c r="F334" s="530" t="s">
        <v>52</v>
      </c>
      <c r="G334" s="530" t="s">
        <v>52</v>
      </c>
      <c r="H334" s="530">
        <v>480.77960214266045</v>
      </c>
      <c r="I334" s="530">
        <v>635.398482982941</v>
      </c>
      <c r="J334" s="530">
        <v>1498.7944436903315</v>
      </c>
      <c r="K334" s="530">
        <v>1988.0286636362137</v>
      </c>
      <c r="L334" s="530">
        <v>1895.6674949203323</v>
      </c>
      <c r="M334" s="530">
        <v>2206.2758444615947</v>
      </c>
      <c r="N334" s="530">
        <v>2664.9701534405517</v>
      </c>
      <c r="O334" s="530">
        <v>2943.2300651055589</v>
      </c>
      <c r="P334" s="530">
        <v>1819.4095374978531</v>
      </c>
      <c r="Q334" s="530">
        <v>1563.3322247065282</v>
      </c>
      <c r="R334" s="530">
        <v>809.89608346721002</v>
      </c>
      <c r="S334" s="530">
        <v>633.26350790261688</v>
      </c>
      <c r="T334" s="530">
        <v>1594.9205086628663</v>
      </c>
      <c r="U334" s="530" t="s">
        <v>59</v>
      </c>
    </row>
    <row r="335" spans="1:21" ht="13.8" x14ac:dyDescent="0.3">
      <c r="A335" s="530" t="str">
        <f t="shared" si="10"/>
        <v>North Wales.2017.Visitor Days.Serviced Accommodation</v>
      </c>
      <c r="B335" s="530" t="s">
        <v>220</v>
      </c>
      <c r="C335" s="530" t="str">
        <f t="shared" si="11"/>
        <v>2017.Visitor Days.Serviced Accommodation</v>
      </c>
      <c r="D335" s="530" t="s">
        <v>234</v>
      </c>
      <c r="E335" s="530" t="s">
        <v>171</v>
      </c>
      <c r="F335" s="530" t="s">
        <v>43</v>
      </c>
      <c r="G335" s="530" t="s">
        <v>43</v>
      </c>
      <c r="H335" s="530">
        <v>241.62382237442208</v>
      </c>
      <c r="I335" s="530">
        <v>312.79785633026074</v>
      </c>
      <c r="J335" s="530">
        <v>327.49425344949088</v>
      </c>
      <c r="K335" s="530">
        <v>409.53440682093793</v>
      </c>
      <c r="L335" s="530">
        <v>444.59807351302277</v>
      </c>
      <c r="M335" s="530">
        <v>426.57880211342331</v>
      </c>
      <c r="N335" s="530">
        <v>484.37203048395202</v>
      </c>
      <c r="O335" s="530">
        <v>492.51431995268035</v>
      </c>
      <c r="P335" s="530">
        <v>424.16469549105784</v>
      </c>
      <c r="Q335" s="530">
        <v>339.7797256622456</v>
      </c>
      <c r="R335" s="530">
        <v>290.48986715884405</v>
      </c>
      <c r="S335" s="530">
        <v>255.5888440151264</v>
      </c>
      <c r="T335" s="530">
        <v>4449.5366973654654</v>
      </c>
      <c r="U335" s="530" t="s">
        <v>61</v>
      </c>
    </row>
    <row r="336" spans="1:21" ht="13.8" x14ac:dyDescent="0.3">
      <c r="A336" s="530" t="str">
        <f t="shared" si="10"/>
        <v>North Wales.2017.Visitor Days.Non-Serviced Accommodation</v>
      </c>
      <c r="B336" s="530" t="s">
        <v>220</v>
      </c>
      <c r="C336" s="530" t="str">
        <f t="shared" si="11"/>
        <v>2017.Visitor Days.Non-Serviced Accommodation</v>
      </c>
      <c r="D336" s="530" t="s">
        <v>234</v>
      </c>
      <c r="E336" s="530" t="s">
        <v>171</v>
      </c>
      <c r="F336" s="530" t="s">
        <v>48</v>
      </c>
      <c r="G336" s="530" t="s">
        <v>48</v>
      </c>
      <c r="H336" s="530">
        <v>681.66213342894935</v>
      </c>
      <c r="I336" s="530">
        <v>973.20221337473015</v>
      </c>
      <c r="J336" s="530">
        <v>3284.8599374183354</v>
      </c>
      <c r="K336" s="530">
        <v>3955.4806455293201</v>
      </c>
      <c r="L336" s="530">
        <v>4004.9262305522207</v>
      </c>
      <c r="M336" s="530">
        <v>4773.842648930985</v>
      </c>
      <c r="N336" s="530">
        <v>5725.8880215640474</v>
      </c>
      <c r="O336" s="530">
        <v>5997.2448320755384</v>
      </c>
      <c r="P336" s="530">
        <v>4052.4573683559447</v>
      </c>
      <c r="Q336" s="530">
        <v>3646.2466004819025</v>
      </c>
      <c r="R336" s="530">
        <v>1652.2170216828017</v>
      </c>
      <c r="S336" s="530">
        <v>1077.6778996979301</v>
      </c>
      <c r="T336" s="530">
        <v>39825.705553092703</v>
      </c>
      <c r="U336" s="530" t="s">
        <v>61</v>
      </c>
    </row>
    <row r="337" spans="1:21" ht="13.8" x14ac:dyDescent="0.3">
      <c r="A337" s="530" t="str">
        <f t="shared" si="10"/>
        <v>North Wales.2017.Visitor Days.SFR</v>
      </c>
      <c r="B337" s="530" t="s">
        <v>220</v>
      </c>
      <c r="C337" s="530" t="str">
        <f t="shared" si="11"/>
        <v>2017.Visitor Days.SFR</v>
      </c>
      <c r="D337" s="530" t="s">
        <v>234</v>
      </c>
      <c r="E337" s="530" t="s">
        <v>171</v>
      </c>
      <c r="F337" s="530" t="s">
        <v>18</v>
      </c>
      <c r="G337" s="530" t="s">
        <v>18</v>
      </c>
      <c r="H337" s="530">
        <v>355.81806818181815</v>
      </c>
      <c r="I337" s="530">
        <v>119.55487090909091</v>
      </c>
      <c r="J337" s="530">
        <v>136.00157272727273</v>
      </c>
      <c r="K337" s="530">
        <v>324.50607818181817</v>
      </c>
      <c r="L337" s="530">
        <v>208.7466</v>
      </c>
      <c r="M337" s="530">
        <v>160.80130137272727</v>
      </c>
      <c r="N337" s="530">
        <v>260.93324999999999</v>
      </c>
      <c r="O337" s="530">
        <v>276.22235703636363</v>
      </c>
      <c r="P337" s="530">
        <v>142.2769383190909</v>
      </c>
      <c r="Q337" s="530">
        <v>142.13745763636365</v>
      </c>
      <c r="R337" s="530">
        <v>110.75430402272724</v>
      </c>
      <c r="S337" s="530">
        <v>320.71068545454546</v>
      </c>
      <c r="T337" s="530">
        <v>2558.4634838418183</v>
      </c>
      <c r="U337" s="530" t="s">
        <v>61</v>
      </c>
    </row>
    <row r="338" spans="1:21" ht="13.8" x14ac:dyDescent="0.3">
      <c r="A338" s="530" t="str">
        <f t="shared" si="10"/>
        <v>North Wales.2017.Visitor Days.Day Visitor</v>
      </c>
      <c r="B338" s="530" t="s">
        <v>220</v>
      </c>
      <c r="C338" s="530" t="str">
        <f t="shared" si="11"/>
        <v>2017.Visitor Days.Day Visitor</v>
      </c>
      <c r="D338" s="530" t="s">
        <v>234</v>
      </c>
      <c r="E338" s="530" t="s">
        <v>171</v>
      </c>
      <c r="F338" s="530" t="s">
        <v>71</v>
      </c>
      <c r="G338" s="530" t="s">
        <v>71</v>
      </c>
      <c r="H338" s="530">
        <v>513.5941436160731</v>
      </c>
      <c r="I338" s="530">
        <v>768.26548942202703</v>
      </c>
      <c r="J338" s="530">
        <v>1247.5242914046453</v>
      </c>
      <c r="K338" s="530">
        <v>2129.8461929677401</v>
      </c>
      <c r="L338" s="530">
        <v>2034.5306800360086</v>
      </c>
      <c r="M338" s="530">
        <v>2100.9710534237215</v>
      </c>
      <c r="N338" s="530">
        <v>2852.4064579754727</v>
      </c>
      <c r="O338" s="530">
        <v>3603.6679184151894</v>
      </c>
      <c r="P338" s="530">
        <v>1814.6857059664528</v>
      </c>
      <c r="Q338" s="530">
        <v>1442.5348242096018</v>
      </c>
      <c r="R338" s="530">
        <v>754.79352327302036</v>
      </c>
      <c r="S338" s="530">
        <v>611.10125921158328</v>
      </c>
      <c r="T338" s="530">
        <v>19873.921539921535</v>
      </c>
      <c r="U338" s="530" t="s">
        <v>61</v>
      </c>
    </row>
    <row r="339" spans="1:21" ht="13.8" x14ac:dyDescent="0.3">
      <c r="A339" s="530" t="str">
        <f t="shared" si="10"/>
        <v>North Wales.2017.Visitor Days.Total</v>
      </c>
      <c r="B339" s="530" t="s">
        <v>220</v>
      </c>
      <c r="C339" s="530" t="str">
        <f t="shared" si="11"/>
        <v>2017.Visitor Days.Total</v>
      </c>
      <c r="D339" s="530" t="s">
        <v>234</v>
      </c>
      <c r="E339" s="530" t="s">
        <v>171</v>
      </c>
      <c r="F339" s="530" t="s">
        <v>54</v>
      </c>
      <c r="G339" s="530" t="s">
        <v>54</v>
      </c>
      <c r="H339" s="530">
        <v>1792.6981676012626</v>
      </c>
      <c r="I339" s="530">
        <v>2173.8204300361085</v>
      </c>
      <c r="J339" s="530">
        <v>4995.8800549997441</v>
      </c>
      <c r="K339" s="530">
        <v>6819.3673234998168</v>
      </c>
      <c r="L339" s="530">
        <v>6692.801584101252</v>
      </c>
      <c r="M339" s="530">
        <v>7462.1938058408577</v>
      </c>
      <c r="N339" s="530">
        <v>9323.5997600234714</v>
      </c>
      <c r="O339" s="530">
        <v>10369.649427479771</v>
      </c>
      <c r="P339" s="530">
        <v>6433.5847081325455</v>
      </c>
      <c r="Q339" s="530">
        <v>5570.6986079901135</v>
      </c>
      <c r="R339" s="530">
        <v>2808.2547161373932</v>
      </c>
      <c r="S339" s="530">
        <v>2265.0786883791852</v>
      </c>
      <c r="T339" s="530">
        <v>66707.627274221522</v>
      </c>
      <c r="U339" s="530" t="s">
        <v>61</v>
      </c>
    </row>
    <row r="340" spans="1:21" ht="13.8" x14ac:dyDescent="0.3">
      <c r="A340" s="530" t="str">
        <f t="shared" si="10"/>
        <v>North Wales.2017.Visitor Numbers.Serviced Accommodation</v>
      </c>
      <c r="B340" s="530" t="s">
        <v>220</v>
      </c>
      <c r="C340" s="530" t="str">
        <f t="shared" si="11"/>
        <v>2017.Visitor Numbers.Serviced Accommodation</v>
      </c>
      <c r="D340" s="530" t="s">
        <v>234</v>
      </c>
      <c r="E340" s="530" t="s">
        <v>172</v>
      </c>
      <c r="F340" s="530" t="s">
        <v>43</v>
      </c>
      <c r="G340" s="530" t="s">
        <v>43</v>
      </c>
      <c r="H340" s="530">
        <v>156.5831961487537</v>
      </c>
      <c r="I340" s="530">
        <v>208.80358970973981</v>
      </c>
      <c r="J340" s="530">
        <v>159.16738659065027</v>
      </c>
      <c r="K340" s="530">
        <v>225.46902523874007</v>
      </c>
      <c r="L340" s="530">
        <v>236.78502757826578</v>
      </c>
      <c r="M340" s="530">
        <v>240.36213375635469</v>
      </c>
      <c r="N340" s="530">
        <v>280.6630406506435</v>
      </c>
      <c r="O340" s="530">
        <v>283.35477712649828</v>
      </c>
      <c r="P340" s="530">
        <v>217.07311936027955</v>
      </c>
      <c r="Q340" s="530">
        <v>196.24288111531968</v>
      </c>
      <c r="R340" s="530">
        <v>169.32205524837826</v>
      </c>
      <c r="S340" s="530">
        <v>155.6352847257335</v>
      </c>
      <c r="T340" s="530">
        <v>2529.4615172493573</v>
      </c>
      <c r="U340" s="530" t="s">
        <v>61</v>
      </c>
    </row>
    <row r="341" spans="1:21" ht="13.8" x14ac:dyDescent="0.3">
      <c r="A341" s="530" t="str">
        <f t="shared" si="10"/>
        <v>North Wales.2017.Visitor Numbers.Non-Serviced Accommodation</v>
      </c>
      <c r="B341" s="530" t="s">
        <v>220</v>
      </c>
      <c r="C341" s="530" t="str">
        <f t="shared" si="11"/>
        <v>2017.Visitor Numbers.Non-Serviced Accommodation</v>
      </c>
      <c r="D341" s="530" t="s">
        <v>234</v>
      </c>
      <c r="E341" s="530" t="s">
        <v>172</v>
      </c>
      <c r="F341" s="530" t="s">
        <v>48</v>
      </c>
      <c r="G341" s="530" t="s">
        <v>48</v>
      </c>
      <c r="H341" s="530">
        <v>200.45974231332494</v>
      </c>
      <c r="I341" s="530">
        <v>243.46889840271538</v>
      </c>
      <c r="J341" s="530">
        <v>685.2542910408298</v>
      </c>
      <c r="K341" s="530">
        <v>620.46051353466464</v>
      </c>
      <c r="L341" s="530">
        <v>582.75466178182751</v>
      </c>
      <c r="M341" s="530">
        <v>686.07780749983374</v>
      </c>
      <c r="N341" s="530">
        <v>810.47122825526992</v>
      </c>
      <c r="O341" s="530">
        <v>794.50605679429441</v>
      </c>
      <c r="P341" s="530">
        <v>593.07695002426283</v>
      </c>
      <c r="Q341" s="530">
        <v>527.65358718836239</v>
      </c>
      <c r="R341" s="530">
        <v>369.73512253900731</v>
      </c>
      <c r="S341" s="530">
        <v>196.0162826289768</v>
      </c>
      <c r="T341" s="530">
        <v>6309.9351420033709</v>
      </c>
      <c r="U341" s="530" t="s">
        <v>61</v>
      </c>
    </row>
    <row r="342" spans="1:21" ht="13.8" x14ac:dyDescent="0.3">
      <c r="A342" s="530" t="str">
        <f t="shared" si="10"/>
        <v>North Wales.2017.Visitor Numbers.SFR</v>
      </c>
      <c r="B342" s="530" t="s">
        <v>220</v>
      </c>
      <c r="C342" s="530" t="str">
        <f t="shared" si="11"/>
        <v>2017.Visitor Numbers.SFR</v>
      </c>
      <c r="D342" s="530" t="s">
        <v>234</v>
      </c>
      <c r="E342" s="530" t="s">
        <v>172</v>
      </c>
      <c r="F342" s="530" t="s">
        <v>18</v>
      </c>
      <c r="G342" s="530" t="s">
        <v>18</v>
      </c>
      <c r="H342" s="530">
        <v>142.32722727272727</v>
      </c>
      <c r="I342" s="530">
        <v>56.930890909090898</v>
      </c>
      <c r="J342" s="530">
        <v>63.25654545454546</v>
      </c>
      <c r="K342" s="530">
        <v>120.18743636363635</v>
      </c>
      <c r="L342" s="530">
        <v>94.884818181818176</v>
      </c>
      <c r="M342" s="530">
        <v>76.572048272727272</v>
      </c>
      <c r="N342" s="530">
        <v>104.3733</v>
      </c>
      <c r="O342" s="530">
        <v>106.23936809090908</v>
      </c>
      <c r="P342" s="530">
        <v>65.565409363636363</v>
      </c>
      <c r="Q342" s="530">
        <v>66.419372727272716</v>
      </c>
      <c r="R342" s="530">
        <v>54.558770454545446</v>
      </c>
      <c r="S342" s="530">
        <v>123.35026363636362</v>
      </c>
      <c r="T342" s="530">
        <v>1074.6654507272726</v>
      </c>
      <c r="U342" s="530" t="s">
        <v>61</v>
      </c>
    </row>
    <row r="343" spans="1:21" ht="13.8" x14ac:dyDescent="0.3">
      <c r="A343" s="530" t="str">
        <f t="shared" si="10"/>
        <v>North Wales.2017.Visitor Numbers.Day Visitor</v>
      </c>
      <c r="B343" s="530" t="s">
        <v>220</v>
      </c>
      <c r="C343" s="530" t="str">
        <f t="shared" si="11"/>
        <v>2017.Visitor Numbers.Day Visitor</v>
      </c>
      <c r="D343" s="530" t="s">
        <v>234</v>
      </c>
      <c r="E343" s="530" t="s">
        <v>172</v>
      </c>
      <c r="F343" s="530" t="s">
        <v>71</v>
      </c>
      <c r="G343" s="530" t="s">
        <v>71</v>
      </c>
      <c r="H343" s="530">
        <v>513.5941436160731</v>
      </c>
      <c r="I343" s="530">
        <v>768.26548942202703</v>
      </c>
      <c r="J343" s="530">
        <v>1247.5242914046453</v>
      </c>
      <c r="K343" s="530">
        <v>2129.8461929677401</v>
      </c>
      <c r="L343" s="530">
        <v>2034.5306800360086</v>
      </c>
      <c r="M343" s="530">
        <v>2100.9710534237215</v>
      </c>
      <c r="N343" s="530">
        <v>2852.4064579754727</v>
      </c>
      <c r="O343" s="530">
        <v>3603.6679184151894</v>
      </c>
      <c r="P343" s="530">
        <v>1814.6857059664528</v>
      </c>
      <c r="Q343" s="530">
        <v>1442.5348242096018</v>
      </c>
      <c r="R343" s="530">
        <v>754.79352327302036</v>
      </c>
      <c r="S343" s="530">
        <v>611.10125921158328</v>
      </c>
      <c r="T343" s="530">
        <v>19873.921539921535</v>
      </c>
      <c r="U343" s="530" t="s">
        <v>61</v>
      </c>
    </row>
    <row r="344" spans="1:21" ht="13.8" x14ac:dyDescent="0.3">
      <c r="A344" s="530" t="str">
        <f t="shared" si="10"/>
        <v>North Wales.2017.Visitor Numbers.Total</v>
      </c>
      <c r="B344" s="530" t="s">
        <v>220</v>
      </c>
      <c r="C344" s="530" t="str">
        <f t="shared" si="11"/>
        <v>2017.Visitor Numbers.Total</v>
      </c>
      <c r="D344" s="530" t="s">
        <v>234</v>
      </c>
      <c r="E344" s="530" t="s">
        <v>172</v>
      </c>
      <c r="F344" s="530" t="s">
        <v>54</v>
      </c>
      <c r="G344" s="530" t="s">
        <v>54</v>
      </c>
      <c r="H344" s="530">
        <v>1012.9643093508789</v>
      </c>
      <c r="I344" s="530">
        <v>1277.4688684435732</v>
      </c>
      <c r="J344" s="530">
        <v>2155.2025144906711</v>
      </c>
      <c r="K344" s="530">
        <v>3095.9631681047813</v>
      </c>
      <c r="L344" s="530">
        <v>2948.9551875779198</v>
      </c>
      <c r="M344" s="530">
        <v>3103.9830429526373</v>
      </c>
      <c r="N344" s="530">
        <v>4047.9140268813862</v>
      </c>
      <c r="O344" s="530">
        <v>4787.7681204268911</v>
      </c>
      <c r="P344" s="530">
        <v>2690.4011847146317</v>
      </c>
      <c r="Q344" s="530">
        <v>2232.8506652405567</v>
      </c>
      <c r="R344" s="530">
        <v>1348.4094715149513</v>
      </c>
      <c r="S344" s="530">
        <v>1086.1030902026573</v>
      </c>
      <c r="T344" s="530">
        <v>29787.983649901536</v>
      </c>
      <c r="U344" s="530" t="s">
        <v>61</v>
      </c>
    </row>
    <row r="345" spans="1:21" ht="13.8" x14ac:dyDescent="0.3">
      <c r="A345" s="530" t="str">
        <f t="shared" si="10"/>
        <v>North Wales.2017.Vehicle Days.Serviced Accommodation</v>
      </c>
      <c r="B345" s="530" t="s">
        <v>220</v>
      </c>
      <c r="C345" s="530" t="str">
        <f t="shared" si="11"/>
        <v>2017.Vehicle Days.Serviced Accommodation</v>
      </c>
      <c r="D345" s="530" t="s">
        <v>234</v>
      </c>
      <c r="E345" s="530" t="s">
        <v>21</v>
      </c>
      <c r="F345" s="530" t="s">
        <v>43</v>
      </c>
      <c r="G345" s="530" t="s">
        <v>43</v>
      </c>
      <c r="H345" s="530">
        <v>63.106795024450264</v>
      </c>
      <c r="I345" s="530">
        <v>108.01284786380896</v>
      </c>
      <c r="J345" s="530">
        <v>118.47516696506659</v>
      </c>
      <c r="K345" s="530">
        <v>107.44280751059226</v>
      </c>
      <c r="L345" s="530">
        <v>124.80228554612847</v>
      </c>
      <c r="M345" s="530">
        <v>119.30879400459881</v>
      </c>
      <c r="N345" s="530">
        <v>126.89593321314703</v>
      </c>
      <c r="O345" s="530">
        <v>128.71261726606903</v>
      </c>
      <c r="P345" s="530">
        <v>111.21211030479616</v>
      </c>
      <c r="Q345" s="530">
        <v>103.3794399817514</v>
      </c>
      <c r="R345" s="530">
        <v>90.232765593421774</v>
      </c>
      <c r="S345" s="530">
        <v>67.36262275819</v>
      </c>
      <c r="T345" s="530">
        <v>1268.9441860320208</v>
      </c>
      <c r="U345" s="530" t="s">
        <v>61</v>
      </c>
    </row>
    <row r="346" spans="1:21" ht="13.8" x14ac:dyDescent="0.3">
      <c r="A346" s="530" t="str">
        <f t="shared" si="10"/>
        <v>North Wales.2017.Vehicle Days.Non-Serviced Accommodation</v>
      </c>
      <c r="B346" s="530" t="s">
        <v>220</v>
      </c>
      <c r="C346" s="530" t="str">
        <f t="shared" si="11"/>
        <v>2017.Vehicle Days.Non-Serviced Accommodation</v>
      </c>
      <c r="D346" s="530" t="s">
        <v>234</v>
      </c>
      <c r="E346" s="530" t="s">
        <v>21</v>
      </c>
      <c r="F346" s="530" t="s">
        <v>48</v>
      </c>
      <c r="G346" s="530" t="s">
        <v>48</v>
      </c>
      <c r="H346" s="530">
        <v>175.47858253152182</v>
      </c>
      <c r="I346" s="530">
        <v>290.15508192950102</v>
      </c>
      <c r="J346" s="530">
        <v>889.02150407449756</v>
      </c>
      <c r="K346" s="530">
        <v>1030.5645509549254</v>
      </c>
      <c r="L346" s="530">
        <v>1042.635787254623</v>
      </c>
      <c r="M346" s="530">
        <v>1281.7992724693966</v>
      </c>
      <c r="N346" s="530">
        <v>1467.6608490766566</v>
      </c>
      <c r="O346" s="530">
        <v>1508.1460675882838</v>
      </c>
      <c r="P346" s="530">
        <v>1057.7867783302927</v>
      </c>
      <c r="Q346" s="530">
        <v>934.24501488265537</v>
      </c>
      <c r="R346" s="530">
        <v>437.61126573044106</v>
      </c>
      <c r="S346" s="530">
        <v>267.83222170627647</v>
      </c>
      <c r="T346" s="530">
        <v>10382.93697652907</v>
      </c>
      <c r="U346" s="530" t="s">
        <v>61</v>
      </c>
    </row>
    <row r="347" spans="1:21" ht="13.8" x14ac:dyDescent="0.3">
      <c r="A347" s="530" t="str">
        <f t="shared" si="10"/>
        <v>North Wales.2017.Vehicle Days.SFR</v>
      </c>
      <c r="B347" s="530" t="s">
        <v>220</v>
      </c>
      <c r="C347" s="530" t="str">
        <f t="shared" si="11"/>
        <v>2017.Vehicle Days.SFR</v>
      </c>
      <c r="D347" s="530" t="s">
        <v>234</v>
      </c>
      <c r="E347" s="530" t="s">
        <v>21</v>
      </c>
      <c r="F347" s="530" t="s">
        <v>18</v>
      </c>
      <c r="G347" s="530" t="s">
        <v>18</v>
      </c>
      <c r="H347" s="530">
        <v>109.51613522727271</v>
      </c>
      <c r="I347" s="530">
        <v>36.797421436363635</v>
      </c>
      <c r="J347" s="530">
        <v>41.859500575757579</v>
      </c>
      <c r="K347" s="530">
        <v>99.878715327272715</v>
      </c>
      <c r="L347" s="530">
        <v>64.249465999999998</v>
      </c>
      <c r="M347" s="530">
        <v>49.492531831909091</v>
      </c>
      <c r="N347" s="530">
        <v>80.311832500000008</v>
      </c>
      <c r="O347" s="530">
        <v>85.017619146121206</v>
      </c>
      <c r="P347" s="530">
        <v>43.790975810463635</v>
      </c>
      <c r="Q347" s="530">
        <v>43.74804548545454</v>
      </c>
      <c r="R347" s="530">
        <v>34.088722358409086</v>
      </c>
      <c r="S347" s="530">
        <v>98.710543218181812</v>
      </c>
      <c r="T347" s="530">
        <v>787.46150891720606</v>
      </c>
      <c r="U347" s="530" t="s">
        <v>61</v>
      </c>
    </row>
    <row r="348" spans="1:21" ht="13.8" x14ac:dyDescent="0.3">
      <c r="A348" s="530" t="str">
        <f t="shared" si="10"/>
        <v>North Wales.2017.Vehicle Days.Day Visitor</v>
      </c>
      <c r="B348" s="530" t="s">
        <v>220</v>
      </c>
      <c r="C348" s="530" t="str">
        <f t="shared" si="11"/>
        <v>2017.Vehicle Days.Day Visitor</v>
      </c>
      <c r="D348" s="530" t="s">
        <v>234</v>
      </c>
      <c r="E348" s="530" t="s">
        <v>21</v>
      </c>
      <c r="F348" s="530" t="s">
        <v>71</v>
      </c>
      <c r="G348" s="530" t="s">
        <v>71</v>
      </c>
      <c r="H348" s="530">
        <v>112.99071159553606</v>
      </c>
      <c r="I348" s="530">
        <v>193.16389448325251</v>
      </c>
      <c r="J348" s="530">
        <v>313.66325041031075</v>
      </c>
      <c r="K348" s="530">
        <v>468.56616245290286</v>
      </c>
      <c r="L348" s="530">
        <v>447.59674960792194</v>
      </c>
      <c r="M348" s="530">
        <v>528.24415057510714</v>
      </c>
      <c r="N348" s="530">
        <v>627.52942075460396</v>
      </c>
      <c r="O348" s="530">
        <v>792.80694205134159</v>
      </c>
      <c r="P348" s="530">
        <v>399.23085531261961</v>
      </c>
      <c r="Q348" s="530">
        <v>362.69447008698558</v>
      </c>
      <c r="R348" s="530">
        <v>189.77665728007372</v>
      </c>
      <c r="S348" s="530">
        <v>134.44227702654831</v>
      </c>
      <c r="T348" s="530">
        <v>4570.7055416372041</v>
      </c>
      <c r="U348" s="530" t="s">
        <v>61</v>
      </c>
    </row>
    <row r="349" spans="1:21" ht="13.8" x14ac:dyDescent="0.3">
      <c r="A349" s="530" t="str">
        <f t="shared" si="10"/>
        <v>North Wales.2017.Vehicle Days.Total</v>
      </c>
      <c r="B349" s="530" t="s">
        <v>220</v>
      </c>
      <c r="C349" s="530" t="str">
        <f t="shared" si="11"/>
        <v>2017.Vehicle Days.Total</v>
      </c>
      <c r="D349" s="530" t="s">
        <v>234</v>
      </c>
      <c r="E349" s="530" t="s">
        <v>21</v>
      </c>
      <c r="F349" s="530" t="s">
        <v>54</v>
      </c>
      <c r="G349" s="530" t="s">
        <v>54</v>
      </c>
      <c r="H349" s="530">
        <v>461.09222437878088</v>
      </c>
      <c r="I349" s="530">
        <v>628.12924571292615</v>
      </c>
      <c r="J349" s="530">
        <v>1363.0194220256326</v>
      </c>
      <c r="K349" s="530">
        <v>1706.4522362456933</v>
      </c>
      <c r="L349" s="530">
        <v>1679.2842884086733</v>
      </c>
      <c r="M349" s="530">
        <v>1978.8447488810116</v>
      </c>
      <c r="N349" s="530">
        <v>2302.3980355444078</v>
      </c>
      <c r="O349" s="530">
        <v>2514.6832460518153</v>
      </c>
      <c r="P349" s="530">
        <v>1612.0207197581722</v>
      </c>
      <c r="Q349" s="530">
        <v>1444.0669704368468</v>
      </c>
      <c r="R349" s="530">
        <v>751.7094109623456</v>
      </c>
      <c r="S349" s="530">
        <v>568.34766470919658</v>
      </c>
      <c r="T349" s="530">
        <v>17010.0482131155</v>
      </c>
      <c r="U349" s="530" t="s">
        <v>61</v>
      </c>
    </row>
    <row r="350" spans="1:21" ht="13.8" x14ac:dyDescent="0.3">
      <c r="A350" s="530" t="str">
        <f t="shared" si="10"/>
        <v>North Wales.2017.Vehicle Numbers.Serviced Accommodation</v>
      </c>
      <c r="B350" s="530" t="s">
        <v>220</v>
      </c>
      <c r="C350" s="530" t="str">
        <f t="shared" si="11"/>
        <v>2017.Vehicle Numbers.Serviced Accommodation</v>
      </c>
      <c r="D350" s="530" t="s">
        <v>234</v>
      </c>
      <c r="E350" s="530" t="s">
        <v>22</v>
      </c>
      <c r="F350" s="530" t="s">
        <v>43</v>
      </c>
      <c r="G350" s="530" t="s">
        <v>43</v>
      </c>
      <c r="H350" s="530">
        <v>40.821415941500042</v>
      </c>
      <c r="I350" s="530">
        <v>72.155003785306889</v>
      </c>
      <c r="J350" s="530">
        <v>57.569554226709378</v>
      </c>
      <c r="K350" s="530">
        <v>59.146242472424156</v>
      </c>
      <c r="L350" s="530">
        <v>66.387577998548664</v>
      </c>
      <c r="M350" s="530">
        <v>67.177126089544061</v>
      </c>
      <c r="N350" s="530">
        <v>73.560208296223948</v>
      </c>
      <c r="O350" s="530">
        <v>74.131100318124894</v>
      </c>
      <c r="P350" s="530">
        <v>56.934113476783921</v>
      </c>
      <c r="Q350" s="530">
        <v>59.838722919567687</v>
      </c>
      <c r="R350" s="530">
        <v>51.889617148718862</v>
      </c>
      <c r="S350" s="530">
        <v>41.069795797179339</v>
      </c>
      <c r="T350" s="530">
        <v>720.6804784706319</v>
      </c>
      <c r="U350" s="530" t="s">
        <v>61</v>
      </c>
    </row>
    <row r="351" spans="1:21" ht="13.8" x14ac:dyDescent="0.3">
      <c r="A351" s="530" t="str">
        <f t="shared" si="10"/>
        <v>North Wales.2017.Vehicle Numbers.Non-Serviced Accommodation</v>
      </c>
      <c r="B351" s="530" t="s">
        <v>220</v>
      </c>
      <c r="C351" s="530" t="str">
        <f t="shared" si="11"/>
        <v>2017.Vehicle Numbers.Non-Serviced Accommodation</v>
      </c>
      <c r="D351" s="530" t="s">
        <v>234</v>
      </c>
      <c r="E351" s="530" t="s">
        <v>22</v>
      </c>
      <c r="F351" s="530" t="s">
        <v>48</v>
      </c>
      <c r="G351" s="530" t="s">
        <v>48</v>
      </c>
      <c r="H351" s="530">
        <v>51.603474774366425</v>
      </c>
      <c r="I351" s="530">
        <v>72.597350997428777</v>
      </c>
      <c r="J351" s="530">
        <v>185.4729829188604</v>
      </c>
      <c r="K351" s="530">
        <v>161.60905616363979</v>
      </c>
      <c r="L351" s="530">
        <v>151.77556061357453</v>
      </c>
      <c r="M351" s="530">
        <v>184.2935674245509</v>
      </c>
      <c r="N351" s="530">
        <v>207.65794141939097</v>
      </c>
      <c r="O351" s="530">
        <v>199.62026064951624</v>
      </c>
      <c r="P351" s="530">
        <v>154.9583920718463</v>
      </c>
      <c r="Q351" s="530">
        <v>135.18892532769732</v>
      </c>
      <c r="R351" s="530">
        <v>97.961527530907603</v>
      </c>
      <c r="S351" s="530">
        <v>48.589770522778167</v>
      </c>
      <c r="T351" s="530">
        <v>1651.3288104145572</v>
      </c>
      <c r="U351" s="530" t="s">
        <v>61</v>
      </c>
    </row>
    <row r="352" spans="1:21" ht="13.8" x14ac:dyDescent="0.3">
      <c r="A352" s="530" t="str">
        <f t="shared" si="10"/>
        <v>North Wales.2017.Vehicle Numbers.SFR</v>
      </c>
      <c r="B352" s="530" t="s">
        <v>220</v>
      </c>
      <c r="C352" s="530" t="str">
        <f t="shared" si="11"/>
        <v>2017.Vehicle Numbers.SFR</v>
      </c>
      <c r="D352" s="530" t="s">
        <v>234</v>
      </c>
      <c r="E352" s="530" t="s">
        <v>22</v>
      </c>
      <c r="F352" s="530" t="s">
        <v>18</v>
      </c>
      <c r="G352" s="530" t="s">
        <v>18</v>
      </c>
      <c r="H352" s="530">
        <v>43.806454090909085</v>
      </c>
      <c r="I352" s="530">
        <v>17.522581636363633</v>
      </c>
      <c r="J352" s="530">
        <v>19.469535151515153</v>
      </c>
      <c r="K352" s="530">
        <v>36.992116787878786</v>
      </c>
      <c r="L352" s="530">
        <v>29.204302727272726</v>
      </c>
      <c r="M352" s="530">
        <v>23.567872300909094</v>
      </c>
      <c r="N352" s="530">
        <v>32.124732999999992</v>
      </c>
      <c r="O352" s="530">
        <v>32.699084286969693</v>
      </c>
      <c r="P352" s="530">
        <v>20.180173184545453</v>
      </c>
      <c r="Q352" s="530">
        <v>20.443011909090906</v>
      </c>
      <c r="R352" s="530">
        <v>16.792474068181818</v>
      </c>
      <c r="S352" s="530">
        <v>37.965593545454539</v>
      </c>
      <c r="T352" s="530">
        <v>330.76793268909091</v>
      </c>
      <c r="U352" s="530" t="s">
        <v>61</v>
      </c>
    </row>
    <row r="353" spans="1:21" ht="13.8" x14ac:dyDescent="0.3">
      <c r="A353" s="530" t="str">
        <f t="shared" si="10"/>
        <v>North Wales.2017.Vehicle Numbers.Day Visitor</v>
      </c>
      <c r="B353" s="530" t="s">
        <v>220</v>
      </c>
      <c r="C353" s="530" t="str">
        <f t="shared" si="11"/>
        <v>2017.Vehicle Numbers.Day Visitor</v>
      </c>
      <c r="D353" s="530" t="s">
        <v>234</v>
      </c>
      <c r="E353" s="530" t="s">
        <v>22</v>
      </c>
      <c r="F353" s="530" t="s">
        <v>71</v>
      </c>
      <c r="G353" s="530" t="s">
        <v>71</v>
      </c>
      <c r="H353" s="530">
        <v>112.99071159553606</v>
      </c>
      <c r="I353" s="530">
        <v>193.16389448325251</v>
      </c>
      <c r="J353" s="530">
        <v>313.66325041031075</v>
      </c>
      <c r="K353" s="530">
        <v>468.56616245290286</v>
      </c>
      <c r="L353" s="530">
        <v>447.59674960792194</v>
      </c>
      <c r="M353" s="530">
        <v>528.24415057510714</v>
      </c>
      <c r="N353" s="530">
        <v>627.52942075460396</v>
      </c>
      <c r="O353" s="530">
        <v>792.80694205134159</v>
      </c>
      <c r="P353" s="530">
        <v>399.23085531261961</v>
      </c>
      <c r="Q353" s="530">
        <v>362.69447008698558</v>
      </c>
      <c r="R353" s="530">
        <v>189.77665728007372</v>
      </c>
      <c r="S353" s="530">
        <v>134.44227702654831</v>
      </c>
      <c r="T353" s="530">
        <v>4570.7055416372041</v>
      </c>
      <c r="U353" s="530" t="s">
        <v>61</v>
      </c>
    </row>
    <row r="354" spans="1:21" ht="13.8" x14ac:dyDescent="0.3">
      <c r="A354" s="530" t="str">
        <f t="shared" si="10"/>
        <v>North Wales.2017.Vehicle Numbers.Total</v>
      </c>
      <c r="B354" s="530" t="s">
        <v>220</v>
      </c>
      <c r="C354" s="530" t="str">
        <f t="shared" si="11"/>
        <v>2017.Vehicle Numbers.Total</v>
      </c>
      <c r="D354" s="530" t="s">
        <v>234</v>
      </c>
      <c r="E354" s="530" t="s">
        <v>22</v>
      </c>
      <c r="F354" s="530" t="s">
        <v>54</v>
      </c>
      <c r="G354" s="530" t="s">
        <v>54</v>
      </c>
      <c r="H354" s="530">
        <v>249.22205640231161</v>
      </c>
      <c r="I354" s="530">
        <v>355.43883090235181</v>
      </c>
      <c r="J354" s="530">
        <v>576.17532270739571</v>
      </c>
      <c r="K354" s="530">
        <v>726.31357787684556</v>
      </c>
      <c r="L354" s="530">
        <v>694.96419094731789</v>
      </c>
      <c r="M354" s="530">
        <v>803.2827163901112</v>
      </c>
      <c r="N354" s="530">
        <v>940.87230347021887</v>
      </c>
      <c r="O354" s="530">
        <v>1099.2573873059523</v>
      </c>
      <c r="P354" s="530">
        <v>631.30353404579523</v>
      </c>
      <c r="Q354" s="530">
        <v>578.16513024334154</v>
      </c>
      <c r="R354" s="530">
        <v>356.42027602788198</v>
      </c>
      <c r="S354" s="530">
        <v>262.06743689196037</v>
      </c>
      <c r="T354" s="530">
        <v>7273.4827632114848</v>
      </c>
      <c r="U354" s="530" t="s">
        <v>61</v>
      </c>
    </row>
    <row r="355" spans="1:21" ht="13.8" x14ac:dyDescent="0.3">
      <c r="A355" s="530" t="str">
        <f t="shared" si="10"/>
        <v>North Wales.2017.Accommodation.Serviced Accommodation</v>
      </c>
      <c r="B355" s="530" t="s">
        <v>220</v>
      </c>
      <c r="C355" s="530" t="str">
        <f t="shared" si="11"/>
        <v>2017.Accommodation.Serviced Accommodation</v>
      </c>
      <c r="D355" s="530" t="s">
        <v>234</v>
      </c>
      <c r="E355" s="530" t="s">
        <v>23</v>
      </c>
      <c r="F355" s="530" t="s">
        <v>43</v>
      </c>
      <c r="G355" s="530" t="s">
        <v>43</v>
      </c>
      <c r="H355" s="530">
        <v>22753</v>
      </c>
      <c r="I355" s="530">
        <v>23721</v>
      </c>
      <c r="J355" s="530">
        <v>24882.799999999999</v>
      </c>
      <c r="K355" s="530">
        <v>25405.4</v>
      </c>
      <c r="L355" s="530">
        <v>25396</v>
      </c>
      <c r="M355" s="530">
        <v>25403.4</v>
      </c>
      <c r="N355" s="530">
        <v>25423.4</v>
      </c>
      <c r="O355" s="530">
        <v>25423.4</v>
      </c>
      <c r="P355" s="530">
        <v>25398.2</v>
      </c>
      <c r="Q355" s="530">
        <v>25245.800000000003</v>
      </c>
      <c r="R355" s="530">
        <v>24511.4</v>
      </c>
      <c r="S355" s="530">
        <v>23700.6</v>
      </c>
      <c r="T355" s="530">
        <v>25423.4</v>
      </c>
      <c r="U355" s="530" t="s">
        <v>58</v>
      </c>
    </row>
    <row r="356" spans="1:21" ht="13.8" x14ac:dyDescent="0.3">
      <c r="A356" s="530" t="str">
        <f t="shared" si="10"/>
        <v>North Wales.2017.Accommodation.Non-Serviced Accommodation</v>
      </c>
      <c r="B356" s="530" t="s">
        <v>220</v>
      </c>
      <c r="C356" s="530" t="str">
        <f t="shared" si="11"/>
        <v>2017.Accommodation.Non-Serviced Accommodation</v>
      </c>
      <c r="D356" s="530" t="s">
        <v>234</v>
      </c>
      <c r="E356" s="530" t="s">
        <v>23</v>
      </c>
      <c r="F356" s="530" t="s">
        <v>48</v>
      </c>
      <c r="G356" s="530" t="s">
        <v>48</v>
      </c>
      <c r="H356" s="530">
        <v>75346.732290953703</v>
      </c>
      <c r="I356" s="530">
        <v>80330.731416457696</v>
      </c>
      <c r="J356" s="530">
        <v>199020.90864074774</v>
      </c>
      <c r="K356" s="530">
        <v>226717.57331274389</v>
      </c>
      <c r="L356" s="530">
        <v>227387.29686809302</v>
      </c>
      <c r="M356" s="530">
        <v>229620.35921363218</v>
      </c>
      <c r="N356" s="530">
        <v>229941.91712248992</v>
      </c>
      <c r="O356" s="530">
        <v>230222.10200475567</v>
      </c>
      <c r="P356" s="530">
        <v>229180.44382417481</v>
      </c>
      <c r="Q356" s="530">
        <v>224075.89998532011</v>
      </c>
      <c r="R356" s="530">
        <v>136617.59285689009</v>
      </c>
      <c r="S356" s="530">
        <v>103082.55407111501</v>
      </c>
      <c r="T356" s="530">
        <v>230222.10200475567</v>
      </c>
      <c r="U356" s="530" t="s">
        <v>58</v>
      </c>
    </row>
    <row r="357" spans="1:21" ht="13.8" x14ac:dyDescent="0.3">
      <c r="A357" s="530" t="str">
        <f t="shared" si="10"/>
        <v>North Wales.2017.Accommodation.Total</v>
      </c>
      <c r="B357" s="530" t="s">
        <v>220</v>
      </c>
      <c r="C357" s="530" t="str">
        <f t="shared" si="11"/>
        <v>2017.Accommodation.Total</v>
      </c>
      <c r="D357" s="530" t="s">
        <v>234</v>
      </c>
      <c r="E357" s="530" t="s">
        <v>23</v>
      </c>
      <c r="F357" s="530" t="s">
        <v>54</v>
      </c>
      <c r="G357" s="530" t="s">
        <v>54</v>
      </c>
      <c r="H357" s="530">
        <v>98099.732290953703</v>
      </c>
      <c r="I357" s="530">
        <v>104051.7314164577</v>
      </c>
      <c r="J357" s="530">
        <v>223903.70864074773</v>
      </c>
      <c r="K357" s="530">
        <v>252122.97331274388</v>
      </c>
      <c r="L357" s="530">
        <v>252783.29686809302</v>
      </c>
      <c r="M357" s="530">
        <v>255023.75921363218</v>
      </c>
      <c r="N357" s="530">
        <v>255365.31712248991</v>
      </c>
      <c r="O357" s="530">
        <v>255645.50200475566</v>
      </c>
      <c r="P357" s="530">
        <v>254578.64382417483</v>
      </c>
      <c r="Q357" s="530">
        <v>249321.6999853201</v>
      </c>
      <c r="R357" s="530">
        <v>161128.99285689008</v>
      </c>
      <c r="S357" s="530">
        <v>126783.15407111502</v>
      </c>
      <c r="T357" s="530">
        <v>255645.50200475566</v>
      </c>
      <c r="U357" s="530" t="s">
        <v>58</v>
      </c>
    </row>
    <row r="358" spans="1:21" ht="13.8" x14ac:dyDescent="0.3">
      <c r="A358" s="530" t="str">
        <f t="shared" si="10"/>
        <v>North Wales.2017.Economic Impact.Total</v>
      </c>
      <c r="B358" s="530" t="s">
        <v>220</v>
      </c>
      <c r="C358" s="530" t="str">
        <f t="shared" si="11"/>
        <v>2017.Economic Impact.Total</v>
      </c>
      <c r="D358" s="530" t="s">
        <v>234</v>
      </c>
      <c r="E358" s="530" t="s">
        <v>17</v>
      </c>
      <c r="F358" s="530" t="s">
        <v>54</v>
      </c>
      <c r="G358" s="530" t="s">
        <v>54</v>
      </c>
      <c r="H358" s="530">
        <v>88726.188235863039</v>
      </c>
      <c r="I358" s="530">
        <v>113537.89642625098</v>
      </c>
      <c r="J358" s="530">
        <v>228636.04100812471</v>
      </c>
      <c r="K358" s="530">
        <v>307878.07495464734</v>
      </c>
      <c r="L358" s="530">
        <v>296324.99710132368</v>
      </c>
      <c r="M358" s="530">
        <v>336727.58787119441</v>
      </c>
      <c r="N358" s="530">
        <v>446637.80908114591</v>
      </c>
      <c r="O358" s="530">
        <v>495623.29524479149</v>
      </c>
      <c r="P358" s="530">
        <v>327159.01955177158</v>
      </c>
      <c r="Q358" s="530">
        <v>248607.81942250417</v>
      </c>
      <c r="R358" s="530">
        <v>135182.28906061576</v>
      </c>
      <c r="S358" s="530">
        <v>111781.27362076825</v>
      </c>
      <c r="T358" s="530">
        <v>3136822.2915790016</v>
      </c>
      <c r="U358" s="530" t="s">
        <v>57</v>
      </c>
    </row>
    <row r="359" spans="1:21" ht="13.8" x14ac:dyDescent="0.3">
      <c r="A359" s="530" t="str">
        <f t="shared" si="10"/>
        <v>North Wales.2018.Economic Impact.Indirect Expenditure</v>
      </c>
      <c r="B359" s="530" t="s">
        <v>220</v>
      </c>
      <c r="C359" s="530" t="str">
        <f t="shared" si="11"/>
        <v>2018.Economic Impact.Indirect Expenditure</v>
      </c>
      <c r="D359" s="530" t="s">
        <v>244</v>
      </c>
      <c r="E359" s="530" t="s">
        <v>17</v>
      </c>
      <c r="F359" s="530" t="s">
        <v>45</v>
      </c>
      <c r="G359" s="530" t="s">
        <v>45</v>
      </c>
      <c r="H359" s="530">
        <v>23510.919250766161</v>
      </c>
      <c r="I359" s="530">
        <v>30036.257459622218</v>
      </c>
      <c r="J359" s="530">
        <v>62512.636982510798</v>
      </c>
      <c r="K359" s="530">
        <v>75685.219885359562</v>
      </c>
      <c r="L359" s="530">
        <v>86971.739181904588</v>
      </c>
      <c r="M359" s="530">
        <v>95792.338955159823</v>
      </c>
      <c r="N359" s="530">
        <v>123374.63199303961</v>
      </c>
      <c r="O359" s="530">
        <v>137923.90196648825</v>
      </c>
      <c r="P359" s="530">
        <v>93091.690389384545</v>
      </c>
      <c r="Q359" s="530">
        <v>71557.784985293954</v>
      </c>
      <c r="R359" s="530">
        <v>38784.651430038146</v>
      </c>
      <c r="S359" s="530">
        <v>28699.916421817052</v>
      </c>
      <c r="T359" s="530">
        <v>867941.68890138471</v>
      </c>
      <c r="U359" s="530" t="s">
        <v>57</v>
      </c>
    </row>
    <row r="360" spans="1:21" ht="13.8" x14ac:dyDescent="0.3">
      <c r="A360" s="530" t="str">
        <f t="shared" si="10"/>
        <v>North Wales.2018.Economic Impact.Direct Revenue</v>
      </c>
      <c r="B360" s="530" t="s">
        <v>220</v>
      </c>
      <c r="C360" s="530" t="str">
        <f t="shared" si="11"/>
        <v>2018.Economic Impact.Direct Revenue</v>
      </c>
      <c r="D360" s="530" t="s">
        <v>244</v>
      </c>
      <c r="E360" s="530" t="s">
        <v>17</v>
      </c>
      <c r="F360" s="530" t="s">
        <v>46</v>
      </c>
      <c r="G360" s="530" t="s">
        <v>46</v>
      </c>
      <c r="H360" s="530">
        <v>57814.38599336498</v>
      </c>
      <c r="I360" s="530">
        <v>73047.637292996427</v>
      </c>
      <c r="J360" s="530">
        <v>153287.93016167582</v>
      </c>
      <c r="K360" s="530">
        <v>184129.8584788825</v>
      </c>
      <c r="L360" s="530">
        <v>212101.59243624588</v>
      </c>
      <c r="M360" s="530">
        <v>232978.88279118575</v>
      </c>
      <c r="N360" s="530">
        <v>299873.0766634508</v>
      </c>
      <c r="O360" s="530">
        <v>333153.42020264146</v>
      </c>
      <c r="P360" s="530">
        <v>224480.31153860901</v>
      </c>
      <c r="Q360" s="530">
        <v>171166.89469734096</v>
      </c>
      <c r="R360" s="530">
        <v>93001.401938006296</v>
      </c>
      <c r="S360" s="530">
        <v>70767.011053029943</v>
      </c>
      <c r="T360" s="530">
        <v>2105802.40324743</v>
      </c>
      <c r="U360" s="530" t="s">
        <v>57</v>
      </c>
    </row>
    <row r="361" spans="1:21" ht="13.8" x14ac:dyDescent="0.3">
      <c r="A361" s="530" t="str">
        <f t="shared" si="10"/>
        <v>North Wales.2018.Economic Impact.VAT</v>
      </c>
      <c r="B361" s="530" t="s">
        <v>220</v>
      </c>
      <c r="C361" s="530" t="str">
        <f t="shared" si="11"/>
        <v>2018.Economic Impact.VAT</v>
      </c>
      <c r="D361" s="530" t="s">
        <v>244</v>
      </c>
      <c r="E361" s="530" t="s">
        <v>17</v>
      </c>
      <c r="F361" s="530" t="s">
        <v>47</v>
      </c>
      <c r="G361" s="530" t="s">
        <v>47</v>
      </c>
      <c r="H361" s="530">
        <v>11562.877198672995</v>
      </c>
      <c r="I361" s="530">
        <v>14609.527458599283</v>
      </c>
      <c r="J361" s="530">
        <v>30657.586032335166</v>
      </c>
      <c r="K361" s="530">
        <v>36825.971695776505</v>
      </c>
      <c r="L361" s="530">
        <v>42420.318487249177</v>
      </c>
      <c r="M361" s="530">
        <v>46595.77655823715</v>
      </c>
      <c r="N361" s="530">
        <v>59974.615332690162</v>
      </c>
      <c r="O361" s="530">
        <v>66630.684040528286</v>
      </c>
      <c r="P361" s="530">
        <v>44896.062307721804</v>
      </c>
      <c r="Q361" s="530">
        <v>34233.378939468195</v>
      </c>
      <c r="R361" s="530">
        <v>18600.280387601259</v>
      </c>
      <c r="S361" s="530">
        <v>14153.402210605989</v>
      </c>
      <c r="T361" s="530">
        <v>421160.48064948589</v>
      </c>
      <c r="U361" s="530" t="s">
        <v>57</v>
      </c>
    </row>
    <row r="362" spans="1:21" ht="13.8" x14ac:dyDescent="0.3">
      <c r="A362" s="530" t="str">
        <f t="shared" si="10"/>
        <v>North Wales.2018.Economic Impact.Serviced Accommodation</v>
      </c>
      <c r="B362" s="530" t="s">
        <v>220</v>
      </c>
      <c r="C362" s="530" t="str">
        <f t="shared" si="11"/>
        <v>2018.Economic Impact.Serviced Accommodation</v>
      </c>
      <c r="D362" s="530" t="s">
        <v>244</v>
      </c>
      <c r="E362" s="530" t="s">
        <v>17</v>
      </c>
      <c r="F362" s="530" t="s">
        <v>43</v>
      </c>
      <c r="G362" s="530" t="s">
        <v>43</v>
      </c>
      <c r="H362" s="530">
        <v>22294.086397342086</v>
      </c>
      <c r="I362" s="530">
        <v>29385.262163493328</v>
      </c>
      <c r="J362" s="530">
        <v>31922.551004235618</v>
      </c>
      <c r="K362" s="530">
        <v>35615.828431864255</v>
      </c>
      <c r="L362" s="530">
        <v>47516.841612254284</v>
      </c>
      <c r="M362" s="530">
        <v>44080.26892605552</v>
      </c>
      <c r="N362" s="530">
        <v>63414.361117858425</v>
      </c>
      <c r="O362" s="530">
        <v>70589.082011718594</v>
      </c>
      <c r="P362" s="530">
        <v>58829.88086651027</v>
      </c>
      <c r="Q362" s="530">
        <v>33261.42529308438</v>
      </c>
      <c r="R362" s="530">
        <v>28874.4138025994</v>
      </c>
      <c r="S362" s="530">
        <v>26910.529472543167</v>
      </c>
      <c r="T362" s="530">
        <v>492694.53109955939</v>
      </c>
      <c r="U362" s="530" t="s">
        <v>57</v>
      </c>
    </row>
    <row r="363" spans="1:21" ht="13.8" x14ac:dyDescent="0.3">
      <c r="A363" s="530" t="str">
        <f t="shared" si="10"/>
        <v>North Wales.2018.Economic Impact.Non-Serviced Accommodation</v>
      </c>
      <c r="B363" s="530" t="s">
        <v>220</v>
      </c>
      <c r="C363" s="530" t="str">
        <f t="shared" si="11"/>
        <v>2018.Economic Impact.Non-Serviced Accommodation</v>
      </c>
      <c r="D363" s="530" t="s">
        <v>244</v>
      </c>
      <c r="E363" s="530" t="s">
        <v>17</v>
      </c>
      <c r="F363" s="530" t="s">
        <v>48</v>
      </c>
      <c r="G363" s="530" t="s">
        <v>48</v>
      </c>
      <c r="H363" s="530">
        <v>35921.173574183973</v>
      </c>
      <c r="I363" s="530">
        <v>48620.079160585432</v>
      </c>
      <c r="J363" s="530">
        <v>155953.59316906601</v>
      </c>
      <c r="K363" s="530">
        <v>167581.41576066392</v>
      </c>
      <c r="L363" s="530">
        <v>192502.10866879468</v>
      </c>
      <c r="M363" s="530">
        <v>223593.6896876134</v>
      </c>
      <c r="N363" s="530">
        <v>283732.49275490531</v>
      </c>
      <c r="O363" s="530">
        <v>299867.94068950857</v>
      </c>
      <c r="P363" s="530">
        <v>214769.87318401493</v>
      </c>
      <c r="Q363" s="530">
        <v>172945.35433134058</v>
      </c>
      <c r="R363" s="530">
        <v>83801.517273235368</v>
      </c>
      <c r="S363" s="530">
        <v>49162.712139930794</v>
      </c>
      <c r="T363" s="530">
        <v>1928451.950393843</v>
      </c>
      <c r="U363" s="530" t="s">
        <v>57</v>
      </c>
    </row>
    <row r="364" spans="1:21" ht="13.8" x14ac:dyDescent="0.3">
      <c r="A364" s="530" t="str">
        <f t="shared" si="10"/>
        <v>North Wales.2018.Economic Impact.SFR</v>
      </c>
      <c r="B364" s="530" t="s">
        <v>220</v>
      </c>
      <c r="C364" s="530" t="str">
        <f t="shared" si="11"/>
        <v>2018.Economic Impact.SFR</v>
      </c>
      <c r="D364" s="530" t="s">
        <v>244</v>
      </c>
      <c r="E364" s="530" t="s">
        <v>17</v>
      </c>
      <c r="F364" s="530" t="s">
        <v>18</v>
      </c>
      <c r="G364" s="530" t="s">
        <v>18</v>
      </c>
      <c r="H364" s="530">
        <v>14432.328594146529</v>
      </c>
      <c r="I364" s="530">
        <v>4849.262407633234</v>
      </c>
      <c r="J364" s="530">
        <v>5516.3567070960071</v>
      </c>
      <c r="K364" s="530">
        <v>13162.283677861635</v>
      </c>
      <c r="L364" s="530">
        <v>8466.9661085659645</v>
      </c>
      <c r="M364" s="530">
        <v>6522.2579382667</v>
      </c>
      <c r="N364" s="530">
        <v>10583.707635707455</v>
      </c>
      <c r="O364" s="530">
        <v>11203.848759477271</v>
      </c>
      <c r="P364" s="530">
        <v>5770.8916685506392</v>
      </c>
      <c r="Q364" s="530">
        <v>5765.2341957417339</v>
      </c>
      <c r="R364" s="530">
        <v>4492.3028137380088</v>
      </c>
      <c r="S364" s="530">
        <v>13008.338839524075</v>
      </c>
      <c r="T364" s="530">
        <v>103773.77934630925</v>
      </c>
      <c r="U364" s="530" t="s">
        <v>57</v>
      </c>
    </row>
    <row r="365" spans="1:21" ht="13.8" x14ac:dyDescent="0.3">
      <c r="A365" s="530" t="str">
        <f t="shared" si="10"/>
        <v>North Wales.2018.Economic Impact.Day Visitor</v>
      </c>
      <c r="B365" s="530" t="s">
        <v>220</v>
      </c>
      <c r="C365" s="530" t="str">
        <f t="shared" si="11"/>
        <v>2018.Economic Impact.Day Visitor</v>
      </c>
      <c r="D365" s="530" t="s">
        <v>244</v>
      </c>
      <c r="E365" s="530" t="s">
        <v>17</v>
      </c>
      <c r="F365" s="530" t="s">
        <v>71</v>
      </c>
      <c r="G365" s="530" t="s">
        <v>71</v>
      </c>
      <c r="H365" s="530">
        <v>20240.593877131541</v>
      </c>
      <c r="I365" s="530">
        <v>34838.818479505921</v>
      </c>
      <c r="J365" s="530">
        <v>53065.652296124157</v>
      </c>
      <c r="K365" s="530">
        <v>80281.52218962874</v>
      </c>
      <c r="L365" s="530">
        <v>93007.733715784707</v>
      </c>
      <c r="M365" s="530">
        <v>101170.78175264706</v>
      </c>
      <c r="N365" s="530">
        <v>125491.76248070935</v>
      </c>
      <c r="O365" s="530">
        <v>156047.13474895351</v>
      </c>
      <c r="P365" s="530">
        <v>83097.418516639489</v>
      </c>
      <c r="Q365" s="530">
        <v>64986.044801936368</v>
      </c>
      <c r="R365" s="530">
        <v>33218.099866072938</v>
      </c>
      <c r="S365" s="530">
        <v>24538.74923345495</v>
      </c>
      <c r="T365" s="530">
        <v>869984.31195858866</v>
      </c>
      <c r="U365" s="530" t="s">
        <v>57</v>
      </c>
    </row>
    <row r="366" spans="1:21" ht="13.8" x14ac:dyDescent="0.3">
      <c r="A366" s="530" t="str">
        <f t="shared" si="10"/>
        <v>North Wales.2018.Economic Impact.Accommodation</v>
      </c>
      <c r="B366" s="530" t="s">
        <v>220</v>
      </c>
      <c r="C366" s="530" t="str">
        <f t="shared" si="11"/>
        <v>2018.Economic Impact.Accommodation</v>
      </c>
      <c r="D366" s="530" t="s">
        <v>244</v>
      </c>
      <c r="E366" s="530" t="s">
        <v>17</v>
      </c>
      <c r="F366" s="530" t="s">
        <v>23</v>
      </c>
      <c r="G366" s="530" t="s">
        <v>23</v>
      </c>
      <c r="H366" s="530">
        <v>13924.343029620279</v>
      </c>
      <c r="I366" s="530">
        <v>18597.911228390709</v>
      </c>
      <c r="J366" s="530">
        <v>29875.113890363653</v>
      </c>
      <c r="K366" s="530">
        <v>32956.478601412207</v>
      </c>
      <c r="L366" s="530">
        <v>39144.725332042741</v>
      </c>
      <c r="M366" s="530">
        <v>41170.729013444557</v>
      </c>
      <c r="N366" s="530">
        <v>71696.025564492375</v>
      </c>
      <c r="O366" s="530">
        <v>80126.338221685961</v>
      </c>
      <c r="P366" s="530">
        <v>65657.401555858552</v>
      </c>
      <c r="Q366" s="530">
        <v>36072.138329327514</v>
      </c>
      <c r="R366" s="530">
        <v>25789.307833511248</v>
      </c>
      <c r="S366" s="530">
        <v>21011.924914312585</v>
      </c>
      <c r="T366" s="530">
        <v>476022.43751446245</v>
      </c>
      <c r="U366" s="530" t="s">
        <v>57</v>
      </c>
    </row>
    <row r="367" spans="1:21" ht="13.8" x14ac:dyDescent="0.3">
      <c r="A367" s="530" t="str">
        <f t="shared" si="10"/>
        <v>North Wales.2018.Economic Impact.Food &amp; Drink</v>
      </c>
      <c r="B367" s="530" t="s">
        <v>220</v>
      </c>
      <c r="C367" s="530" t="str">
        <f t="shared" si="11"/>
        <v>2018.Economic Impact.Food &amp; Drink</v>
      </c>
      <c r="D367" s="530" t="s">
        <v>244</v>
      </c>
      <c r="E367" s="530" t="s">
        <v>17</v>
      </c>
      <c r="F367" s="530" t="s">
        <v>49</v>
      </c>
      <c r="G367" s="530" t="s">
        <v>49</v>
      </c>
      <c r="H367" s="530">
        <v>14605.408239409269</v>
      </c>
      <c r="I367" s="530">
        <v>16756.388041927752</v>
      </c>
      <c r="J367" s="530">
        <v>39742.571494479809</v>
      </c>
      <c r="K367" s="530">
        <v>48591.169293333893</v>
      </c>
      <c r="L367" s="530">
        <v>55371.236530720234</v>
      </c>
      <c r="M367" s="530">
        <v>60317.458632918293</v>
      </c>
      <c r="N367" s="530">
        <v>72988.317224073748</v>
      </c>
      <c r="O367" s="530">
        <v>79888.687543612788</v>
      </c>
      <c r="P367" s="530">
        <v>51331.210560223175</v>
      </c>
      <c r="Q367" s="530">
        <v>44351.455725148167</v>
      </c>
      <c r="R367" s="530">
        <v>22050.364618619202</v>
      </c>
      <c r="S367" s="530">
        <v>16912.363446496984</v>
      </c>
      <c r="T367" s="530">
        <v>522906.63135096332</v>
      </c>
      <c r="U367" s="530" t="s">
        <v>57</v>
      </c>
    </row>
    <row r="368" spans="1:21" ht="13.8" x14ac:dyDescent="0.3">
      <c r="A368" s="530" t="str">
        <f t="shared" si="10"/>
        <v>North Wales.2018.Economic Impact.Recreation</v>
      </c>
      <c r="B368" s="530" t="s">
        <v>220</v>
      </c>
      <c r="C368" s="530" t="str">
        <f t="shared" si="11"/>
        <v>2018.Economic Impact.Recreation</v>
      </c>
      <c r="D368" s="530" t="s">
        <v>244</v>
      </c>
      <c r="E368" s="530" t="s">
        <v>17</v>
      </c>
      <c r="F368" s="530" t="s">
        <v>50</v>
      </c>
      <c r="G368" s="530" t="s">
        <v>50</v>
      </c>
      <c r="H368" s="530">
        <v>4202.1699530437472</v>
      </c>
      <c r="I368" s="530">
        <v>5458.3326176615919</v>
      </c>
      <c r="J368" s="530">
        <v>14831.54717804059</v>
      </c>
      <c r="K368" s="530">
        <v>15457.399071546624</v>
      </c>
      <c r="L368" s="530">
        <v>17823.79437760017</v>
      </c>
      <c r="M368" s="530">
        <v>20988.153042938065</v>
      </c>
      <c r="N368" s="530">
        <v>23920.479062573009</v>
      </c>
      <c r="O368" s="530">
        <v>25937.091300351938</v>
      </c>
      <c r="P368" s="530">
        <v>16394.866538954753</v>
      </c>
      <c r="Q368" s="530">
        <v>14459.795441087193</v>
      </c>
      <c r="R368" s="530">
        <v>7482.2561476457158</v>
      </c>
      <c r="S368" s="530">
        <v>5346.773994698844</v>
      </c>
      <c r="T368" s="530">
        <v>172302.65872614225</v>
      </c>
      <c r="U368" s="530" t="s">
        <v>57</v>
      </c>
    </row>
    <row r="369" spans="1:21" ht="13.8" x14ac:dyDescent="0.3">
      <c r="A369" s="530" t="str">
        <f t="shared" si="10"/>
        <v>North Wales.2018.Economic Impact.Shopping</v>
      </c>
      <c r="B369" s="530" t="s">
        <v>220</v>
      </c>
      <c r="C369" s="530" t="str">
        <f t="shared" si="11"/>
        <v>2018.Economic Impact.Shopping</v>
      </c>
      <c r="D369" s="530" t="s">
        <v>244</v>
      </c>
      <c r="E369" s="530" t="s">
        <v>17</v>
      </c>
      <c r="F369" s="530" t="s">
        <v>51</v>
      </c>
      <c r="G369" s="530" t="s">
        <v>51</v>
      </c>
      <c r="H369" s="530">
        <v>19239.370009457147</v>
      </c>
      <c r="I369" s="530">
        <v>24718.63091693473</v>
      </c>
      <c r="J369" s="530">
        <v>50459.637431350435</v>
      </c>
      <c r="K369" s="530">
        <v>65407.962223456489</v>
      </c>
      <c r="L369" s="530">
        <v>74897.852905740088</v>
      </c>
      <c r="M369" s="530">
        <v>82301.754397941753</v>
      </c>
      <c r="N369" s="530">
        <v>98204.134715687236</v>
      </c>
      <c r="O369" s="530">
        <v>111185.61058329226</v>
      </c>
      <c r="P369" s="530">
        <v>68388.167148701526</v>
      </c>
      <c r="Q369" s="530">
        <v>56888.143671306767</v>
      </c>
      <c r="R369" s="530">
        <v>28086.809629665469</v>
      </c>
      <c r="S369" s="530">
        <v>20658.068450405444</v>
      </c>
      <c r="T369" s="530">
        <v>700436.1420839394</v>
      </c>
      <c r="U369" s="530" t="s">
        <v>57</v>
      </c>
    </row>
    <row r="370" spans="1:21" ht="13.8" x14ac:dyDescent="0.3">
      <c r="A370" s="530" t="str">
        <f t="shared" si="10"/>
        <v>North Wales.2018.Economic Impact.Transport</v>
      </c>
      <c r="B370" s="530" t="s">
        <v>220</v>
      </c>
      <c r="C370" s="530" t="str">
        <f t="shared" si="11"/>
        <v>2018.Economic Impact.Transport</v>
      </c>
      <c r="D370" s="530" t="s">
        <v>244</v>
      </c>
      <c r="E370" s="530" t="s">
        <v>17</v>
      </c>
      <c r="F370" s="530" t="s">
        <v>52</v>
      </c>
      <c r="G370" s="530" t="s">
        <v>52</v>
      </c>
      <c r="H370" s="530">
        <v>5843.0947618345399</v>
      </c>
      <c r="I370" s="530">
        <v>7516.3744880816394</v>
      </c>
      <c r="J370" s="530">
        <v>18379.060167441348</v>
      </c>
      <c r="K370" s="530">
        <v>21716.849289133279</v>
      </c>
      <c r="L370" s="530">
        <v>24863.98329014266</v>
      </c>
      <c r="M370" s="530">
        <v>28200.787703943086</v>
      </c>
      <c r="N370" s="530">
        <v>33064.120096624407</v>
      </c>
      <c r="O370" s="530">
        <v>36015.6925536985</v>
      </c>
      <c r="P370" s="530">
        <v>22708.665734870996</v>
      </c>
      <c r="Q370" s="530">
        <v>19395.361530471302</v>
      </c>
      <c r="R370" s="530">
        <v>9592.6637085646616</v>
      </c>
      <c r="S370" s="530">
        <v>6837.8802471160907</v>
      </c>
      <c r="T370" s="530">
        <v>234134.53357192251</v>
      </c>
      <c r="U370" s="530" t="s">
        <v>57</v>
      </c>
    </row>
    <row r="371" spans="1:21" ht="13.8" x14ac:dyDescent="0.3">
      <c r="A371" s="530" t="str">
        <f t="shared" si="10"/>
        <v>North Wales.2018.Economic Impact.Direct Expenditure</v>
      </c>
      <c r="B371" s="530" t="s">
        <v>220</v>
      </c>
      <c r="C371" s="530" t="str">
        <f t="shared" si="11"/>
        <v>2018.Economic Impact.Direct Expenditure</v>
      </c>
      <c r="D371" s="530" t="s">
        <v>244</v>
      </c>
      <c r="E371" s="530" t="s">
        <v>17</v>
      </c>
      <c r="F371" s="530" t="s">
        <v>44</v>
      </c>
      <c r="G371" s="530" t="s">
        <v>44</v>
      </c>
      <c r="H371" s="530">
        <v>69377.263192037979</v>
      </c>
      <c r="I371" s="530">
        <v>87657.164751595701</v>
      </c>
      <c r="J371" s="530">
        <v>183945.516194011</v>
      </c>
      <c r="K371" s="530">
        <v>220955.83017465897</v>
      </c>
      <c r="L371" s="530">
        <v>254521.91092349507</v>
      </c>
      <c r="M371" s="530">
        <v>279574.6593494229</v>
      </c>
      <c r="N371" s="530">
        <v>359847.69199614093</v>
      </c>
      <c r="O371" s="530">
        <v>399784.10424316971</v>
      </c>
      <c r="P371" s="530">
        <v>269376.37384633074</v>
      </c>
      <c r="Q371" s="530">
        <v>205400.27363680911</v>
      </c>
      <c r="R371" s="530">
        <v>111601.68232560756</v>
      </c>
      <c r="S371" s="530">
        <v>84920.413263635943</v>
      </c>
      <c r="T371" s="530">
        <v>2526962.8838969162</v>
      </c>
      <c r="U371" s="530" t="s">
        <v>57</v>
      </c>
    </row>
    <row r="372" spans="1:21" ht="13.8" x14ac:dyDescent="0.3">
      <c r="A372" s="530" t="str">
        <f t="shared" si="10"/>
        <v>North Wales.2018.Population.Total</v>
      </c>
      <c r="B372" s="530" t="s">
        <v>220</v>
      </c>
      <c r="C372" s="530" t="str">
        <f t="shared" si="11"/>
        <v>2018.Population.Total</v>
      </c>
      <c r="D372" s="530" t="s">
        <v>244</v>
      </c>
      <c r="E372" s="530" t="s">
        <v>19</v>
      </c>
      <c r="F372" s="530" t="s">
        <v>54</v>
      </c>
      <c r="G372" s="530" t="s">
        <v>54</v>
      </c>
      <c r="H372" s="530">
        <v>290726</v>
      </c>
      <c r="I372" s="530">
        <v>290726</v>
      </c>
      <c r="J372" s="530">
        <v>290726</v>
      </c>
      <c r="K372" s="530">
        <v>290726</v>
      </c>
      <c r="L372" s="530">
        <v>290726</v>
      </c>
      <c r="M372" s="530">
        <v>290726</v>
      </c>
      <c r="N372" s="530">
        <v>290726</v>
      </c>
      <c r="O372" s="530">
        <v>290726</v>
      </c>
      <c r="P372" s="530">
        <v>290726</v>
      </c>
      <c r="Q372" s="530">
        <v>290726</v>
      </c>
      <c r="R372" s="530">
        <v>290726</v>
      </c>
      <c r="S372" s="530">
        <v>290726</v>
      </c>
      <c r="T372" s="530">
        <v>290726</v>
      </c>
      <c r="U372" s="530" t="s">
        <v>60</v>
      </c>
    </row>
    <row r="373" spans="1:21" ht="13.8" x14ac:dyDescent="0.3">
      <c r="A373" s="530" t="str">
        <f t="shared" si="10"/>
        <v>North Wales.2018.Employment.Serviced Accommodation</v>
      </c>
      <c r="B373" s="530" t="s">
        <v>220</v>
      </c>
      <c r="C373" s="530" t="str">
        <f t="shared" si="11"/>
        <v>2018.Employment.Serviced Accommodation</v>
      </c>
      <c r="D373" s="530" t="s">
        <v>244</v>
      </c>
      <c r="E373" s="530" t="s">
        <v>20</v>
      </c>
      <c r="F373" s="530" t="s">
        <v>43</v>
      </c>
      <c r="G373" s="530" t="s">
        <v>43</v>
      </c>
      <c r="H373" s="530">
        <v>5739.8852653096419</v>
      </c>
      <c r="I373" s="530">
        <v>6312.4662692575293</v>
      </c>
      <c r="J373" s="530">
        <v>6673.4632407095742</v>
      </c>
      <c r="K373" s="530">
        <v>6939.6878914457584</v>
      </c>
      <c r="L373" s="530">
        <v>7585.2759304638184</v>
      </c>
      <c r="M373" s="530">
        <v>7381.6458465530141</v>
      </c>
      <c r="N373" s="530">
        <v>7563.8077402351873</v>
      </c>
      <c r="O373" s="530">
        <v>7849.6219301090932</v>
      </c>
      <c r="P373" s="530">
        <v>7358.7605949647432</v>
      </c>
      <c r="Q373" s="530">
        <v>6807.8500769703942</v>
      </c>
      <c r="R373" s="530">
        <v>6386.633035976839</v>
      </c>
      <c r="S373" s="530">
        <v>6178.9810173258356</v>
      </c>
      <c r="T373" s="530">
        <v>6898.1732366101178</v>
      </c>
      <c r="U373" s="530" t="s">
        <v>59</v>
      </c>
    </row>
    <row r="374" spans="1:21" ht="13.8" x14ac:dyDescent="0.3">
      <c r="A374" s="530" t="str">
        <f t="shared" si="10"/>
        <v>North Wales.2018.Employment.Non-Serviced Accommodation</v>
      </c>
      <c r="B374" s="530" t="s">
        <v>220</v>
      </c>
      <c r="C374" s="530" t="str">
        <f t="shared" si="11"/>
        <v>2018.Employment.Non-Serviced Accommodation</v>
      </c>
      <c r="D374" s="530" t="s">
        <v>244</v>
      </c>
      <c r="E374" s="530" t="s">
        <v>20</v>
      </c>
      <c r="F374" s="530" t="s">
        <v>48</v>
      </c>
      <c r="G374" s="530" t="s">
        <v>48</v>
      </c>
      <c r="H374" s="530">
        <v>8387.7936688378904</v>
      </c>
      <c r="I374" s="530">
        <v>9398.1098273198913</v>
      </c>
      <c r="J374" s="530">
        <v>20473.31278602971</v>
      </c>
      <c r="K374" s="530">
        <v>21672.579525255958</v>
      </c>
      <c r="L374" s="530">
        <v>24149.326338325438</v>
      </c>
      <c r="M374" s="530">
        <v>27027.657397804614</v>
      </c>
      <c r="N374" s="530">
        <v>30260.421322472164</v>
      </c>
      <c r="O374" s="530">
        <v>34809.851181632483</v>
      </c>
      <c r="P374" s="530">
        <v>23260.359909825882</v>
      </c>
      <c r="Q374" s="530">
        <v>21382.005377888665</v>
      </c>
      <c r="R374" s="530">
        <v>12154.19608497361</v>
      </c>
      <c r="S374" s="530">
        <v>8999.6344338323343</v>
      </c>
      <c r="T374" s="530">
        <v>20164.603987849885</v>
      </c>
      <c r="U374" s="530" t="s">
        <v>59</v>
      </c>
    </row>
    <row r="375" spans="1:21" ht="13.8" x14ac:dyDescent="0.3">
      <c r="A375" s="530" t="str">
        <f t="shared" si="10"/>
        <v>North Wales.2018.Employment.SFR</v>
      </c>
      <c r="B375" s="530" t="s">
        <v>220</v>
      </c>
      <c r="C375" s="530" t="str">
        <f t="shared" si="11"/>
        <v>2018.Employment.SFR</v>
      </c>
      <c r="D375" s="530" t="s">
        <v>244</v>
      </c>
      <c r="E375" s="530" t="s">
        <v>20</v>
      </c>
      <c r="F375" s="530" t="s">
        <v>18</v>
      </c>
      <c r="G375" s="530" t="s">
        <v>18</v>
      </c>
      <c r="H375" s="530">
        <v>1672.9074773855505</v>
      </c>
      <c r="I375" s="530">
        <v>562.09691240154496</v>
      </c>
      <c r="J375" s="530">
        <v>639.42241357847706</v>
      </c>
      <c r="K375" s="530">
        <v>1525.6916193756219</v>
      </c>
      <c r="L375" s="530">
        <v>981.439053399523</v>
      </c>
      <c r="M375" s="530">
        <v>756.02034718007803</v>
      </c>
      <c r="N375" s="530">
        <v>1226.7988167494036</v>
      </c>
      <c r="O375" s="530">
        <v>1298.6817922665748</v>
      </c>
      <c r="P375" s="530">
        <v>668.92655336408302</v>
      </c>
      <c r="Q375" s="530">
        <v>668.27077363294802</v>
      </c>
      <c r="R375" s="530">
        <v>520.72033412754229</v>
      </c>
      <c r="S375" s="530">
        <v>1507.8472729501764</v>
      </c>
      <c r="T375" s="530">
        <v>1002.4019472009601</v>
      </c>
      <c r="U375" s="530" t="s">
        <v>59</v>
      </c>
    </row>
    <row r="376" spans="1:21" ht="13.8" x14ac:dyDescent="0.3">
      <c r="A376" s="530" t="str">
        <f t="shared" si="10"/>
        <v>North Wales.2018.Employment.Day Visitor</v>
      </c>
      <c r="B376" s="530" t="s">
        <v>220</v>
      </c>
      <c r="C376" s="530" t="str">
        <f t="shared" si="11"/>
        <v>2018.Employment.Day Visitor</v>
      </c>
      <c r="D376" s="530" t="s">
        <v>244</v>
      </c>
      <c r="E376" s="530" t="s">
        <v>20</v>
      </c>
      <c r="F376" s="530" t="s">
        <v>71</v>
      </c>
      <c r="G376" s="530" t="s">
        <v>71</v>
      </c>
      <c r="H376" s="530">
        <v>2179.0768904584534</v>
      </c>
      <c r="I376" s="530">
        <v>3715.9216402938155</v>
      </c>
      <c r="J376" s="530">
        <v>5684.5823430667051</v>
      </c>
      <c r="K376" s="530">
        <v>8538.4250630183524</v>
      </c>
      <c r="L376" s="530">
        <v>9900.7939923504528</v>
      </c>
      <c r="M376" s="530">
        <v>10762.595452145433</v>
      </c>
      <c r="N376" s="530">
        <v>13378.567365812731</v>
      </c>
      <c r="O376" s="530">
        <v>16629.334908975412</v>
      </c>
      <c r="P376" s="530">
        <v>8849.4047566116387</v>
      </c>
      <c r="Q376" s="530">
        <v>6952.6150962541378</v>
      </c>
      <c r="R376" s="530">
        <v>3567.4943333762185</v>
      </c>
      <c r="S376" s="530">
        <v>2646.1852788445976</v>
      </c>
      <c r="T376" s="530">
        <v>7733.7497601006617</v>
      </c>
      <c r="U376" s="530" t="s">
        <v>59</v>
      </c>
    </row>
    <row r="377" spans="1:21" ht="13.8" x14ac:dyDescent="0.3">
      <c r="A377" s="530" t="str">
        <f t="shared" si="10"/>
        <v>North Wales.2018.Employment.Direct Employment</v>
      </c>
      <c r="B377" s="530" t="s">
        <v>220</v>
      </c>
      <c r="C377" s="530" t="str">
        <f t="shared" si="11"/>
        <v>2018.Employment.Direct Employment</v>
      </c>
      <c r="D377" s="530" t="s">
        <v>244</v>
      </c>
      <c r="E377" s="530" t="s">
        <v>20</v>
      </c>
      <c r="F377" s="530" t="s">
        <v>55</v>
      </c>
      <c r="G377" s="530" t="s">
        <v>55</v>
      </c>
      <c r="H377" s="530">
        <v>17979.663301991535</v>
      </c>
      <c r="I377" s="530">
        <v>19988.594649272782</v>
      </c>
      <c r="J377" s="530">
        <v>33470.780783384471</v>
      </c>
      <c r="K377" s="530">
        <v>38676.384099095696</v>
      </c>
      <c r="L377" s="530">
        <v>42616.835314539232</v>
      </c>
      <c r="M377" s="530">
        <v>45927.919043683141</v>
      </c>
      <c r="N377" s="530">
        <v>52429.595245269491</v>
      </c>
      <c r="O377" s="530">
        <v>60587.489812983564</v>
      </c>
      <c r="P377" s="530">
        <v>40137.451814766348</v>
      </c>
      <c r="Q377" s="530">
        <v>35810.741324746145</v>
      </c>
      <c r="R377" s="530">
        <v>22629.043788454212</v>
      </c>
      <c r="S377" s="530">
        <v>19332.648002952945</v>
      </c>
      <c r="T377" s="530">
        <v>35798.928931761628</v>
      </c>
      <c r="U377" s="530" t="s">
        <v>59</v>
      </c>
    </row>
    <row r="378" spans="1:21" ht="13.8" x14ac:dyDescent="0.3">
      <c r="A378" s="530" t="str">
        <f t="shared" si="10"/>
        <v>North Wales.2018.Employment.Indirect Employment</v>
      </c>
      <c r="B378" s="530" t="s">
        <v>220</v>
      </c>
      <c r="C378" s="530" t="str">
        <f t="shared" si="11"/>
        <v>2018.Employment.Indirect Employment</v>
      </c>
      <c r="D378" s="530" t="s">
        <v>244</v>
      </c>
      <c r="E378" s="530" t="s">
        <v>20</v>
      </c>
      <c r="F378" s="530" t="s">
        <v>53</v>
      </c>
      <c r="G378" s="530" t="s">
        <v>53</v>
      </c>
      <c r="H378" s="530">
        <v>2795.6355378578937</v>
      </c>
      <c r="I378" s="530">
        <v>3571.5502181239785</v>
      </c>
      <c r="J378" s="530">
        <v>7433.2503824928826</v>
      </c>
      <c r="K378" s="530">
        <v>8999.5753949605751</v>
      </c>
      <c r="L378" s="530">
        <v>10341.632424190171</v>
      </c>
      <c r="M378" s="530">
        <v>11390.471983729305</v>
      </c>
      <c r="N378" s="530">
        <v>14670.226288946196</v>
      </c>
      <c r="O378" s="530">
        <v>16400.250357925819</v>
      </c>
      <c r="P378" s="530">
        <v>11069.343361525374</v>
      </c>
      <c r="Q378" s="530">
        <v>8508.7905148056943</v>
      </c>
      <c r="R378" s="530">
        <v>4611.8039326647013</v>
      </c>
      <c r="S378" s="530">
        <v>3412.6486262236831</v>
      </c>
      <c r="T378" s="530">
        <v>8600.4315852871896</v>
      </c>
      <c r="U378" s="530" t="s">
        <v>59</v>
      </c>
    </row>
    <row r="379" spans="1:21" ht="13.8" x14ac:dyDescent="0.3">
      <c r="A379" s="530" t="str">
        <f t="shared" si="10"/>
        <v>North Wales.2018.Employment.Total</v>
      </c>
      <c r="B379" s="530" t="s">
        <v>220</v>
      </c>
      <c r="C379" s="530" t="str">
        <f t="shared" si="11"/>
        <v>2018.Employment.Total</v>
      </c>
      <c r="D379" s="530" t="s">
        <v>244</v>
      </c>
      <c r="E379" s="530" t="s">
        <v>20</v>
      </c>
      <c r="F379" s="530" t="s">
        <v>54</v>
      </c>
      <c r="G379" s="530" t="s">
        <v>54</v>
      </c>
      <c r="H379" s="530">
        <v>20775.298839849427</v>
      </c>
      <c r="I379" s="530">
        <v>23560.144867396761</v>
      </c>
      <c r="J379" s="530">
        <v>40904.031165877357</v>
      </c>
      <c r="K379" s="530">
        <v>47675.959494056267</v>
      </c>
      <c r="L379" s="530">
        <v>52958.467738729407</v>
      </c>
      <c r="M379" s="530">
        <v>57318.39102741245</v>
      </c>
      <c r="N379" s="530">
        <v>67099.821534215691</v>
      </c>
      <c r="O379" s="530">
        <v>76987.740170909383</v>
      </c>
      <c r="P379" s="530">
        <v>51206.795176291722</v>
      </c>
      <c r="Q379" s="530">
        <v>44319.531839551841</v>
      </c>
      <c r="R379" s="530">
        <v>27240.847721118913</v>
      </c>
      <c r="S379" s="530">
        <v>22745.296629176628</v>
      </c>
      <c r="T379" s="530">
        <v>44399.360517048823</v>
      </c>
      <c r="U379" s="530" t="s">
        <v>59</v>
      </c>
    </row>
    <row r="380" spans="1:21" ht="13.8" x14ac:dyDescent="0.3">
      <c r="A380" s="530" t="str">
        <f t="shared" si="10"/>
        <v>North Wales.2018.Employment.Accommodation</v>
      </c>
      <c r="B380" s="530" t="s">
        <v>220</v>
      </c>
      <c r="C380" s="530" t="str">
        <f t="shared" si="11"/>
        <v>2018.Employment.Accommodation</v>
      </c>
      <c r="D380" s="530" t="s">
        <v>244</v>
      </c>
      <c r="E380" s="530" t="s">
        <v>20</v>
      </c>
      <c r="F380" s="530" t="s">
        <v>23</v>
      </c>
      <c r="G380" s="530" t="s">
        <v>23</v>
      </c>
      <c r="H380" s="530">
        <v>10170.700718390803</v>
      </c>
      <c r="I380" s="530">
        <v>10405.440209811681</v>
      </c>
      <c r="J380" s="530">
        <v>11660.162641612236</v>
      </c>
      <c r="K380" s="530">
        <v>11992.871721130328</v>
      </c>
      <c r="L380" s="530">
        <v>12099.760177161843</v>
      </c>
      <c r="M380" s="530">
        <v>12167.31685579817</v>
      </c>
      <c r="N380" s="530">
        <v>12181.250986603276</v>
      </c>
      <c r="O380" s="530">
        <v>15991.528314076597</v>
      </c>
      <c r="P380" s="530">
        <v>12070.656466781558</v>
      </c>
      <c r="Q380" s="530">
        <v>11880.119396551725</v>
      </c>
      <c r="R380" s="530">
        <v>10709.385775862069</v>
      </c>
      <c r="S380" s="530">
        <v>10454.277442528735</v>
      </c>
      <c r="T380" s="530">
        <v>11815.289225525752</v>
      </c>
      <c r="U380" s="530" t="s">
        <v>59</v>
      </c>
    </row>
    <row r="381" spans="1:21" ht="13.8" x14ac:dyDescent="0.3">
      <c r="A381" s="530" t="str">
        <f t="shared" si="10"/>
        <v>North Wales.2018.Employment.Food &amp; Drink</v>
      </c>
      <c r="B381" s="530" t="s">
        <v>220</v>
      </c>
      <c r="C381" s="530" t="str">
        <f t="shared" si="11"/>
        <v>2018.Employment.Food &amp; Drink</v>
      </c>
      <c r="D381" s="530" t="s">
        <v>244</v>
      </c>
      <c r="E381" s="530" t="s">
        <v>20</v>
      </c>
      <c r="F381" s="530" t="s">
        <v>49</v>
      </c>
      <c r="G381" s="530" t="s">
        <v>49</v>
      </c>
      <c r="H381" s="530">
        <v>3361.4335124818385</v>
      </c>
      <c r="I381" s="530">
        <v>3856.4813382144812</v>
      </c>
      <c r="J381" s="530">
        <v>9146.7495809725551</v>
      </c>
      <c r="K381" s="530">
        <v>11183.253641111321</v>
      </c>
      <c r="L381" s="530">
        <v>12743.685561606026</v>
      </c>
      <c r="M381" s="530">
        <v>13882.058174132153</v>
      </c>
      <c r="N381" s="530">
        <v>16798.255243194777</v>
      </c>
      <c r="O381" s="530">
        <v>18386.374908213576</v>
      </c>
      <c r="P381" s="530">
        <v>11813.873914720145</v>
      </c>
      <c r="Q381" s="530">
        <v>10207.483909939476</v>
      </c>
      <c r="R381" s="530">
        <v>5074.8896146204734</v>
      </c>
      <c r="S381" s="530">
        <v>3892.3790648269587</v>
      </c>
      <c r="T381" s="530">
        <v>10028.909872002816</v>
      </c>
      <c r="U381" s="530" t="s">
        <v>59</v>
      </c>
    </row>
    <row r="382" spans="1:21" ht="13.8" x14ac:dyDescent="0.3">
      <c r="A382" s="530" t="str">
        <f t="shared" si="10"/>
        <v>North Wales.2018.Employment.Recreation</v>
      </c>
      <c r="B382" s="530" t="s">
        <v>220</v>
      </c>
      <c r="C382" s="530" t="str">
        <f t="shared" si="11"/>
        <v>2018.Employment.Recreation</v>
      </c>
      <c r="D382" s="530" t="s">
        <v>244</v>
      </c>
      <c r="E382" s="530" t="s">
        <v>20</v>
      </c>
      <c r="F382" s="530" t="s">
        <v>50</v>
      </c>
      <c r="G382" s="530" t="s">
        <v>50</v>
      </c>
      <c r="H382" s="530">
        <v>833.19638960403995</v>
      </c>
      <c r="I382" s="530">
        <v>1082.2653726795284</v>
      </c>
      <c r="J382" s="530">
        <v>2940.7643429639165</v>
      </c>
      <c r="K382" s="530">
        <v>3064.8567866116023</v>
      </c>
      <c r="L382" s="530">
        <v>3534.0600904788403</v>
      </c>
      <c r="M382" s="530">
        <v>4161.481695229043</v>
      </c>
      <c r="N382" s="530">
        <v>4742.8964119118236</v>
      </c>
      <c r="O382" s="530">
        <v>5142.7455504578938</v>
      </c>
      <c r="P382" s="530">
        <v>3250.7356344316263</v>
      </c>
      <c r="Q382" s="530">
        <v>2867.0542816099614</v>
      </c>
      <c r="R382" s="530">
        <v>1483.5641770736684</v>
      </c>
      <c r="S382" s="530">
        <v>1060.1457909109631</v>
      </c>
      <c r="T382" s="530">
        <v>2846.9805436635761</v>
      </c>
      <c r="U382" s="530" t="s">
        <v>59</v>
      </c>
    </row>
    <row r="383" spans="1:21" ht="13.8" x14ac:dyDescent="0.3">
      <c r="A383" s="530" t="str">
        <f t="shared" si="10"/>
        <v>North Wales.2018.Employment.Shopping</v>
      </c>
      <c r="B383" s="530" t="s">
        <v>220</v>
      </c>
      <c r="C383" s="530" t="str">
        <f t="shared" si="11"/>
        <v>2018.Employment.Shopping</v>
      </c>
      <c r="D383" s="530" t="s">
        <v>244</v>
      </c>
      <c r="E383" s="530" t="s">
        <v>20</v>
      </c>
      <c r="F383" s="530" t="s">
        <v>51</v>
      </c>
      <c r="G383" s="530" t="s">
        <v>51</v>
      </c>
      <c r="H383" s="530">
        <v>3148.1185954726825</v>
      </c>
      <c r="I383" s="530">
        <v>4044.6844988155558</v>
      </c>
      <c r="J383" s="530">
        <v>8256.6592794025655</v>
      </c>
      <c r="K383" s="530">
        <v>10702.638499411456</v>
      </c>
      <c r="L383" s="530">
        <v>12255.45968384809</v>
      </c>
      <c r="M383" s="530">
        <v>13466.95257343807</v>
      </c>
      <c r="N383" s="530">
        <v>16069.042931176655</v>
      </c>
      <c r="O383" s="530">
        <v>18193.188657122926</v>
      </c>
      <c r="P383" s="530">
        <v>11190.286407782227</v>
      </c>
      <c r="Q383" s="530">
        <v>9308.5492334484006</v>
      </c>
      <c r="R383" s="530">
        <v>4595.816164416392</v>
      </c>
      <c r="S383" s="530">
        <v>3380.2587820339922</v>
      </c>
      <c r="T383" s="530">
        <v>9550.9712755307519</v>
      </c>
      <c r="U383" s="530" t="s">
        <v>59</v>
      </c>
    </row>
    <row r="384" spans="1:21" ht="13.8" x14ac:dyDescent="0.3">
      <c r="A384" s="530" t="str">
        <f t="shared" si="10"/>
        <v>North Wales.2018.Employment.Transport</v>
      </c>
      <c r="B384" s="530" t="s">
        <v>220</v>
      </c>
      <c r="C384" s="530" t="str">
        <f t="shared" si="11"/>
        <v>2018.Employment.Transport</v>
      </c>
      <c r="D384" s="530" t="s">
        <v>244</v>
      </c>
      <c r="E384" s="530" t="s">
        <v>20</v>
      </c>
      <c r="F384" s="530" t="s">
        <v>52</v>
      </c>
      <c r="G384" s="530" t="s">
        <v>52</v>
      </c>
      <c r="H384" s="530">
        <v>466.2140860421718</v>
      </c>
      <c r="I384" s="530">
        <v>599.72322975153361</v>
      </c>
      <c r="J384" s="530">
        <v>1466.4449384331911</v>
      </c>
      <c r="K384" s="530">
        <v>1732.7634508309834</v>
      </c>
      <c r="L384" s="530">
        <v>1983.8698014444324</v>
      </c>
      <c r="M384" s="530">
        <v>2250.1097450857064</v>
      </c>
      <c r="N384" s="530">
        <v>2638.149672382955</v>
      </c>
      <c r="O384" s="530">
        <v>2873.6523831125696</v>
      </c>
      <c r="P384" s="530">
        <v>1811.8993910507897</v>
      </c>
      <c r="Q384" s="530">
        <v>1547.534503196584</v>
      </c>
      <c r="R384" s="530">
        <v>765.38805648160485</v>
      </c>
      <c r="S384" s="530">
        <v>545.58692265229445</v>
      </c>
      <c r="T384" s="530">
        <v>1556.778015038735</v>
      </c>
      <c r="U384" s="530" t="s">
        <v>59</v>
      </c>
    </row>
    <row r="385" spans="1:21" ht="13.8" x14ac:dyDescent="0.3">
      <c r="A385" s="530" t="str">
        <f t="shared" si="10"/>
        <v>North Wales.2018.Visitor Days.Serviced Accommodation</v>
      </c>
      <c r="B385" s="530" t="s">
        <v>220</v>
      </c>
      <c r="C385" s="530" t="str">
        <f t="shared" si="11"/>
        <v>2018.Visitor Days.Serviced Accommodation</v>
      </c>
      <c r="D385" s="530" t="s">
        <v>244</v>
      </c>
      <c r="E385" s="530" t="s">
        <v>171</v>
      </c>
      <c r="F385" s="530" t="s">
        <v>43</v>
      </c>
      <c r="G385" s="530" t="s">
        <v>43</v>
      </c>
      <c r="H385" s="530">
        <v>221.71871557341453</v>
      </c>
      <c r="I385" s="530">
        <v>295.30342196506047</v>
      </c>
      <c r="J385" s="530">
        <v>315.38042927580591</v>
      </c>
      <c r="K385" s="530">
        <v>356.16965340869217</v>
      </c>
      <c r="L385" s="530">
        <v>478.73904752435135</v>
      </c>
      <c r="M385" s="530">
        <v>445.32424080003091</v>
      </c>
      <c r="N385" s="530">
        <v>467.54516690248448</v>
      </c>
      <c r="O385" s="530">
        <v>515.92284211326773</v>
      </c>
      <c r="P385" s="530">
        <v>432.73356738471512</v>
      </c>
      <c r="Q385" s="530">
        <v>329.8090586546947</v>
      </c>
      <c r="R385" s="530">
        <v>286.84212243662608</v>
      </c>
      <c r="S385" s="530">
        <v>262.56586888165617</v>
      </c>
      <c r="T385" s="530">
        <v>4408.0541349207997</v>
      </c>
      <c r="U385" s="530" t="s">
        <v>61</v>
      </c>
    </row>
    <row r="386" spans="1:21" ht="13.8" x14ac:dyDescent="0.3">
      <c r="A386" s="530" t="str">
        <f t="shared" si="10"/>
        <v>North Wales.2018.Visitor Days.Non-Serviced Accommodation</v>
      </c>
      <c r="B386" s="530" t="s">
        <v>220</v>
      </c>
      <c r="C386" s="530" t="str">
        <f t="shared" si="11"/>
        <v>2018.Visitor Days.Non-Serviced Accommodation</v>
      </c>
      <c r="D386" s="530" t="s">
        <v>244</v>
      </c>
      <c r="E386" s="530" t="s">
        <v>171</v>
      </c>
      <c r="F386" s="530" t="s">
        <v>48</v>
      </c>
      <c r="G386" s="530" t="s">
        <v>48</v>
      </c>
      <c r="H386" s="530">
        <v>719.07714578676575</v>
      </c>
      <c r="I386" s="530">
        <v>944.4928856367369</v>
      </c>
      <c r="J386" s="530">
        <v>3408.0406534980484</v>
      </c>
      <c r="K386" s="530">
        <v>3794.7926800941423</v>
      </c>
      <c r="L386" s="530">
        <v>4399.0886618892364</v>
      </c>
      <c r="M386" s="530">
        <v>4977.2555634974142</v>
      </c>
      <c r="N386" s="530">
        <v>5925.2944730525205</v>
      </c>
      <c r="O386" s="530">
        <v>6129.7818793274637</v>
      </c>
      <c r="P386" s="530">
        <v>4202.5947593901092</v>
      </c>
      <c r="Q386" s="530">
        <v>3761.7670297674454</v>
      </c>
      <c r="R386" s="530">
        <v>1629.3853644871842</v>
      </c>
      <c r="S386" s="530">
        <v>883.44639498771573</v>
      </c>
      <c r="T386" s="530">
        <v>40775.017491414786</v>
      </c>
      <c r="U386" s="530" t="s">
        <v>61</v>
      </c>
    </row>
    <row r="387" spans="1:21" ht="13.8" x14ac:dyDescent="0.3">
      <c r="A387" s="530" t="str">
        <f t="shared" si="10"/>
        <v>North Wales.2018.Visitor Days.SFR</v>
      </c>
      <c r="B387" s="530" t="s">
        <v>220</v>
      </c>
      <c r="C387" s="530" t="str">
        <f t="shared" si="11"/>
        <v>2018.Visitor Days.SFR</v>
      </c>
      <c r="D387" s="530" t="s">
        <v>244</v>
      </c>
      <c r="E387" s="530" t="s">
        <v>171</v>
      </c>
      <c r="F387" s="530" t="s">
        <v>18</v>
      </c>
      <c r="G387" s="530" t="s">
        <v>18</v>
      </c>
      <c r="H387" s="530">
        <v>356.05431818181813</v>
      </c>
      <c r="I387" s="530">
        <v>119.63425090909089</v>
      </c>
      <c r="J387" s="530">
        <v>136.09187272727274</v>
      </c>
      <c r="K387" s="530">
        <v>324.72153818181812</v>
      </c>
      <c r="L387" s="530">
        <v>208.8852</v>
      </c>
      <c r="M387" s="530">
        <v>160.90806747272728</v>
      </c>
      <c r="N387" s="530">
        <v>261.10649999999998</v>
      </c>
      <c r="O387" s="530">
        <v>276.40575843636361</v>
      </c>
      <c r="P387" s="530">
        <v>142.37140492909089</v>
      </c>
      <c r="Q387" s="530">
        <v>142.23183163636364</v>
      </c>
      <c r="R387" s="530">
        <v>110.82784077272724</v>
      </c>
      <c r="S387" s="530">
        <v>320.92362545454546</v>
      </c>
      <c r="T387" s="530">
        <v>2560.1622087018177</v>
      </c>
      <c r="U387" s="530" t="s">
        <v>61</v>
      </c>
    </row>
    <row r="388" spans="1:21" ht="13.8" x14ac:dyDescent="0.3">
      <c r="A388" s="530" t="str">
        <f t="shared" si="10"/>
        <v>North Wales.2018.Visitor Days.Day Visitor</v>
      </c>
      <c r="B388" s="530" t="s">
        <v>220</v>
      </c>
      <c r="C388" s="530" t="str">
        <f t="shared" si="11"/>
        <v>2018.Visitor Days.Day Visitor</v>
      </c>
      <c r="D388" s="530" t="s">
        <v>244</v>
      </c>
      <c r="E388" s="530" t="s">
        <v>171</v>
      </c>
      <c r="F388" s="530" t="s">
        <v>71</v>
      </c>
      <c r="G388" s="530" t="s">
        <v>71</v>
      </c>
      <c r="H388" s="530">
        <v>503.7472900229368</v>
      </c>
      <c r="I388" s="530">
        <v>807.49480024064269</v>
      </c>
      <c r="J388" s="530">
        <v>1272.0556787977171</v>
      </c>
      <c r="K388" s="530">
        <v>1818.9194835376579</v>
      </c>
      <c r="L388" s="530">
        <v>2122.4282816636255</v>
      </c>
      <c r="M388" s="530">
        <v>2296.4353928469191</v>
      </c>
      <c r="N388" s="530">
        <v>2897.6343841747193</v>
      </c>
      <c r="O388" s="530">
        <v>3591.6656063582391</v>
      </c>
      <c r="P388" s="530">
        <v>1902.4017467076551</v>
      </c>
      <c r="Q388" s="530">
        <v>1542.5219397222509</v>
      </c>
      <c r="R388" s="530">
        <v>811.78806563055196</v>
      </c>
      <c r="S388" s="530">
        <v>618.21190719227013</v>
      </c>
      <c r="T388" s="530">
        <v>20185.304576895185</v>
      </c>
      <c r="U388" s="530" t="s">
        <v>61</v>
      </c>
    </row>
    <row r="389" spans="1:21" ht="13.8" x14ac:dyDescent="0.3">
      <c r="A389" s="530" t="str">
        <f t="shared" si="10"/>
        <v>North Wales.2018.Visitor Days.Total</v>
      </c>
      <c r="B389" s="530" t="s">
        <v>220</v>
      </c>
      <c r="C389" s="530" t="str">
        <f t="shared" si="11"/>
        <v>2018.Visitor Days.Total</v>
      </c>
      <c r="D389" s="530" t="s">
        <v>244</v>
      </c>
      <c r="E389" s="530" t="s">
        <v>171</v>
      </c>
      <c r="F389" s="530" t="s">
        <v>54</v>
      </c>
      <c r="G389" s="530" t="s">
        <v>54</v>
      </c>
      <c r="H389" s="530">
        <v>1800.5974695649352</v>
      </c>
      <c r="I389" s="530">
        <v>2166.9253587515309</v>
      </c>
      <c r="J389" s="530">
        <v>5131.5686342988447</v>
      </c>
      <c r="K389" s="530">
        <v>6294.6033552223107</v>
      </c>
      <c r="L389" s="530">
        <v>7209.1411910772131</v>
      </c>
      <c r="M389" s="530">
        <v>7879.9232646170913</v>
      </c>
      <c r="N389" s="530">
        <v>9551.5805241297239</v>
      </c>
      <c r="O389" s="530">
        <v>10513.776086235333</v>
      </c>
      <c r="P389" s="530">
        <v>6680.1014784115705</v>
      </c>
      <c r="Q389" s="530">
        <v>5776.3298597807543</v>
      </c>
      <c r="R389" s="530">
        <v>2838.8433933270899</v>
      </c>
      <c r="S389" s="530">
        <v>2085.1477965161876</v>
      </c>
      <c r="T389" s="530">
        <v>67928.53841193259</v>
      </c>
      <c r="U389" s="530" t="s">
        <v>61</v>
      </c>
    </row>
    <row r="390" spans="1:21" ht="13.8" x14ac:dyDescent="0.3">
      <c r="A390" s="530" t="str">
        <f t="shared" si="10"/>
        <v>North Wales.2018.Visitor Numbers.Serviced Accommodation</v>
      </c>
      <c r="B390" s="530" t="s">
        <v>220</v>
      </c>
      <c r="C390" s="530" t="str">
        <f t="shared" si="11"/>
        <v>2018.Visitor Numbers.Serviced Accommodation</v>
      </c>
      <c r="D390" s="530" t="s">
        <v>244</v>
      </c>
      <c r="E390" s="530" t="s">
        <v>172</v>
      </c>
      <c r="F390" s="530" t="s">
        <v>43</v>
      </c>
      <c r="G390" s="530" t="s">
        <v>43</v>
      </c>
      <c r="H390" s="530">
        <v>143.95767673564646</v>
      </c>
      <c r="I390" s="530">
        <v>197.21844971891974</v>
      </c>
      <c r="J390" s="530">
        <v>153.3605208880783</v>
      </c>
      <c r="K390" s="530">
        <v>196.01087393195931</v>
      </c>
      <c r="L390" s="530">
        <v>254.42692008301142</v>
      </c>
      <c r="M390" s="530">
        <v>251.05867864082805</v>
      </c>
      <c r="N390" s="530">
        <v>268.39751201513155</v>
      </c>
      <c r="O390" s="530">
        <v>294.75048586526646</v>
      </c>
      <c r="P390" s="530">
        <v>220.60843334628396</v>
      </c>
      <c r="Q390" s="530">
        <v>190.69620001338765</v>
      </c>
      <c r="R390" s="530">
        <v>166.97291013235562</v>
      </c>
      <c r="S390" s="530">
        <v>160.55109325297121</v>
      </c>
      <c r="T390" s="530">
        <v>2498.0097546238394</v>
      </c>
      <c r="U390" s="530" t="s">
        <v>61</v>
      </c>
    </row>
    <row r="391" spans="1:21" ht="13.8" x14ac:dyDescent="0.3">
      <c r="A391" s="530" t="str">
        <f t="shared" si="10"/>
        <v>North Wales.2018.Visitor Numbers.Non-Serviced Accommodation</v>
      </c>
      <c r="B391" s="530" t="s">
        <v>220</v>
      </c>
      <c r="C391" s="530" t="str">
        <f t="shared" si="11"/>
        <v>2018.Visitor Numbers.Non-Serviced Accommodation</v>
      </c>
      <c r="D391" s="530" t="s">
        <v>244</v>
      </c>
      <c r="E391" s="530" t="s">
        <v>172</v>
      </c>
      <c r="F391" s="530" t="s">
        <v>48</v>
      </c>
      <c r="G391" s="530" t="s">
        <v>48</v>
      </c>
      <c r="H391" s="530">
        <v>211.45716580105935</v>
      </c>
      <c r="I391" s="530">
        <v>236.94325959760258</v>
      </c>
      <c r="J391" s="530">
        <v>714.2113846202144</v>
      </c>
      <c r="K391" s="530">
        <v>604.0854118542602</v>
      </c>
      <c r="L391" s="530">
        <v>642.79054330781537</v>
      </c>
      <c r="M391" s="530">
        <v>720.03254058546884</v>
      </c>
      <c r="N391" s="530">
        <v>845.30181288441088</v>
      </c>
      <c r="O391" s="530">
        <v>818.37064072140879</v>
      </c>
      <c r="P391" s="530">
        <v>623.67119494666497</v>
      </c>
      <c r="Q391" s="530">
        <v>555.58106702226291</v>
      </c>
      <c r="R391" s="530">
        <v>369.53970568420971</v>
      </c>
      <c r="S391" s="530">
        <v>164.01118589390109</v>
      </c>
      <c r="T391" s="530">
        <v>6505.9959129192785</v>
      </c>
      <c r="U391" s="530" t="s">
        <v>61</v>
      </c>
    </row>
    <row r="392" spans="1:21" ht="13.8" x14ac:dyDescent="0.3">
      <c r="A392" s="530" t="str">
        <f t="shared" si="10"/>
        <v>North Wales.2018.Visitor Numbers.SFR</v>
      </c>
      <c r="B392" s="530" t="s">
        <v>220</v>
      </c>
      <c r="C392" s="530" t="str">
        <f t="shared" si="11"/>
        <v>2018.Visitor Numbers.SFR</v>
      </c>
      <c r="D392" s="530" t="s">
        <v>244</v>
      </c>
      <c r="E392" s="530" t="s">
        <v>172</v>
      </c>
      <c r="F392" s="530" t="s">
        <v>18</v>
      </c>
      <c r="G392" s="530" t="s">
        <v>18</v>
      </c>
      <c r="H392" s="530">
        <v>142.42172727272728</v>
      </c>
      <c r="I392" s="530">
        <v>56.968690909090896</v>
      </c>
      <c r="J392" s="530">
        <v>63.298545454545462</v>
      </c>
      <c r="K392" s="530">
        <v>120.26723636363636</v>
      </c>
      <c r="L392" s="530">
        <v>94.947818181818178</v>
      </c>
      <c r="M392" s="530">
        <v>76.622889272727278</v>
      </c>
      <c r="N392" s="530">
        <v>104.4426</v>
      </c>
      <c r="O392" s="530">
        <v>106.30990709090908</v>
      </c>
      <c r="P392" s="530">
        <v>65.608942363636359</v>
      </c>
      <c r="Q392" s="530">
        <v>66.463472727272716</v>
      </c>
      <c r="R392" s="530">
        <v>54.594995454545447</v>
      </c>
      <c r="S392" s="530">
        <v>123.43216363636364</v>
      </c>
      <c r="T392" s="530">
        <v>1075.3789887272728</v>
      </c>
      <c r="U392" s="530" t="s">
        <v>61</v>
      </c>
    </row>
    <row r="393" spans="1:21" ht="13.8" x14ac:dyDescent="0.3">
      <c r="A393" s="530" t="str">
        <f t="shared" ref="A393:A456" si="12">B393&amp;"."&amp;D393&amp;"."&amp;E393&amp;"."&amp;F393</f>
        <v>North Wales.2018.Visitor Numbers.Day Visitor</v>
      </c>
      <c r="B393" s="530" t="s">
        <v>220</v>
      </c>
      <c r="C393" s="530" t="str">
        <f t="shared" ref="C393:C456" si="13">D393&amp;"."&amp;E393&amp;"."&amp;F393</f>
        <v>2018.Visitor Numbers.Day Visitor</v>
      </c>
      <c r="D393" s="530" t="s">
        <v>244</v>
      </c>
      <c r="E393" s="530" t="s">
        <v>172</v>
      </c>
      <c r="F393" s="530" t="s">
        <v>71</v>
      </c>
      <c r="G393" s="530" t="s">
        <v>71</v>
      </c>
      <c r="H393" s="530">
        <v>503.7472900229368</v>
      </c>
      <c r="I393" s="530">
        <v>807.49480024064269</v>
      </c>
      <c r="J393" s="530">
        <v>1272.0556787977171</v>
      </c>
      <c r="K393" s="530">
        <v>1818.9194835376579</v>
      </c>
      <c r="L393" s="530">
        <v>2122.4282816636255</v>
      </c>
      <c r="M393" s="530">
        <v>2296.4353928469191</v>
      </c>
      <c r="N393" s="530">
        <v>2897.6343841747193</v>
      </c>
      <c r="O393" s="530">
        <v>3591.6656063582391</v>
      </c>
      <c r="P393" s="530">
        <v>1902.4017467076551</v>
      </c>
      <c r="Q393" s="530">
        <v>1542.5219397222509</v>
      </c>
      <c r="R393" s="530">
        <v>811.78806563055196</v>
      </c>
      <c r="S393" s="530">
        <v>618.21190719227013</v>
      </c>
      <c r="T393" s="530">
        <v>20185.304576895185</v>
      </c>
      <c r="U393" s="530" t="s">
        <v>61</v>
      </c>
    </row>
    <row r="394" spans="1:21" ht="13.8" x14ac:dyDescent="0.3">
      <c r="A394" s="530" t="str">
        <f t="shared" si="12"/>
        <v>North Wales.2018.Visitor Numbers.Total</v>
      </c>
      <c r="B394" s="530" t="s">
        <v>220</v>
      </c>
      <c r="C394" s="530" t="str">
        <f t="shared" si="13"/>
        <v>2018.Visitor Numbers.Total</v>
      </c>
      <c r="D394" s="530" t="s">
        <v>244</v>
      </c>
      <c r="E394" s="530" t="s">
        <v>172</v>
      </c>
      <c r="F394" s="530" t="s">
        <v>54</v>
      </c>
      <c r="G394" s="530" t="s">
        <v>54</v>
      </c>
      <c r="H394" s="530">
        <v>1001.5838598323699</v>
      </c>
      <c r="I394" s="530">
        <v>1298.625200466256</v>
      </c>
      <c r="J394" s="530">
        <v>2202.9261297605553</v>
      </c>
      <c r="K394" s="530">
        <v>2739.2830056875137</v>
      </c>
      <c r="L394" s="530">
        <v>3114.5935632362707</v>
      </c>
      <c r="M394" s="530">
        <v>3344.1495013459435</v>
      </c>
      <c r="N394" s="530">
        <v>4115.7763090742619</v>
      </c>
      <c r="O394" s="530">
        <v>4811.0966400358229</v>
      </c>
      <c r="P394" s="530">
        <v>2812.2903173642403</v>
      </c>
      <c r="Q394" s="530">
        <v>2355.262679485174</v>
      </c>
      <c r="R394" s="530">
        <v>1402.8956769016627</v>
      </c>
      <c r="S394" s="530">
        <v>1066.2063499755061</v>
      </c>
      <c r="T394" s="530">
        <v>30264.68923316558</v>
      </c>
      <c r="U394" s="530" t="s">
        <v>61</v>
      </c>
    </row>
    <row r="395" spans="1:21" ht="13.8" x14ac:dyDescent="0.3">
      <c r="A395" s="530" t="str">
        <f t="shared" si="12"/>
        <v>North Wales.2018.Vehicle Days.Serviced Accommodation</v>
      </c>
      <c r="B395" s="530" t="s">
        <v>220</v>
      </c>
      <c r="C395" s="530" t="str">
        <f t="shared" si="13"/>
        <v>2018.Vehicle Days.Serviced Accommodation</v>
      </c>
      <c r="D395" s="530" t="s">
        <v>244</v>
      </c>
      <c r="E395" s="530" t="s">
        <v>21</v>
      </c>
      <c r="F395" s="530" t="s">
        <v>43</v>
      </c>
      <c r="G395" s="530" t="s">
        <v>43</v>
      </c>
      <c r="H395" s="530">
        <v>57.631297942972921</v>
      </c>
      <c r="I395" s="530">
        <v>101.68107698596205</v>
      </c>
      <c r="J395" s="530">
        <v>113.99065229814603</v>
      </c>
      <c r="K395" s="530">
        <v>93.421128698542447</v>
      </c>
      <c r="L395" s="530">
        <v>134.69628047097194</v>
      </c>
      <c r="M395" s="530">
        <v>124.46022449103002</v>
      </c>
      <c r="N395" s="530">
        <v>122.39103875866685</v>
      </c>
      <c r="O395" s="530">
        <v>135.21042605788958</v>
      </c>
      <c r="P395" s="530">
        <v>113.47367687949486</v>
      </c>
      <c r="Q395" s="530">
        <v>101.46930928143712</v>
      </c>
      <c r="R395" s="530">
        <v>89.400225433971968</v>
      </c>
      <c r="S395" s="530">
        <v>69.310647955057973</v>
      </c>
      <c r="T395" s="530">
        <v>1257.1359852541436</v>
      </c>
      <c r="U395" s="530" t="s">
        <v>61</v>
      </c>
    </row>
    <row r="396" spans="1:21" ht="13.8" x14ac:dyDescent="0.3">
      <c r="A396" s="530" t="str">
        <f t="shared" si="12"/>
        <v>North Wales.2018.Vehicle Days.Non-Serviced Accommodation</v>
      </c>
      <c r="B396" s="530" t="s">
        <v>220</v>
      </c>
      <c r="C396" s="530" t="str">
        <f t="shared" si="13"/>
        <v>2018.Vehicle Days.Non-Serviced Accommodation</v>
      </c>
      <c r="D396" s="530" t="s">
        <v>244</v>
      </c>
      <c r="E396" s="530" t="s">
        <v>21</v>
      </c>
      <c r="F396" s="530" t="s">
        <v>48</v>
      </c>
      <c r="G396" s="530" t="s">
        <v>48</v>
      </c>
      <c r="H396" s="530">
        <v>187.34486817198425</v>
      </c>
      <c r="I396" s="530">
        <v>287.2586496968047</v>
      </c>
      <c r="J396" s="530">
        <v>920.42778601389011</v>
      </c>
      <c r="K396" s="530">
        <v>970.34113864512483</v>
      </c>
      <c r="L396" s="530">
        <v>1157.3691273465834</v>
      </c>
      <c r="M396" s="530">
        <v>1339.7344957497489</v>
      </c>
      <c r="N396" s="530">
        <v>1516.4801516437706</v>
      </c>
      <c r="O396" s="530">
        <v>1529.4021563669951</v>
      </c>
      <c r="P396" s="530">
        <v>1099.7248150565074</v>
      </c>
      <c r="Q396" s="530">
        <v>957.95930951324647</v>
      </c>
      <c r="R396" s="530">
        <v>429.65790293753412</v>
      </c>
      <c r="S396" s="530">
        <v>213.74034271147005</v>
      </c>
      <c r="T396" s="530">
        <v>10609.440743853658</v>
      </c>
      <c r="U396" s="530" t="s">
        <v>61</v>
      </c>
    </row>
    <row r="397" spans="1:21" ht="13.8" x14ac:dyDescent="0.3">
      <c r="A397" s="530" t="str">
        <f t="shared" si="12"/>
        <v>North Wales.2018.Vehicle Days.SFR</v>
      </c>
      <c r="B397" s="530" t="s">
        <v>220</v>
      </c>
      <c r="C397" s="530" t="str">
        <f t="shared" si="13"/>
        <v>2018.Vehicle Days.SFR</v>
      </c>
      <c r="D397" s="530" t="s">
        <v>244</v>
      </c>
      <c r="E397" s="530" t="s">
        <v>21</v>
      </c>
      <c r="F397" s="530" t="s">
        <v>18</v>
      </c>
      <c r="G397" s="530" t="s">
        <v>18</v>
      </c>
      <c r="H397" s="530">
        <v>109.59041079545455</v>
      </c>
      <c r="I397" s="530">
        <v>36.82237802727272</v>
      </c>
      <c r="J397" s="530">
        <v>41.887890348484845</v>
      </c>
      <c r="K397" s="530">
        <v>99.946454645454537</v>
      </c>
      <c r="L397" s="530">
        <v>64.293041000000002</v>
      </c>
      <c r="M397" s="530">
        <v>49.526098446681814</v>
      </c>
      <c r="N397" s="530">
        <v>80.366301250000006</v>
      </c>
      <c r="O397" s="530">
        <v>85.075279434757562</v>
      </c>
      <c r="P397" s="530">
        <v>43.820675540122728</v>
      </c>
      <c r="Q397" s="530">
        <v>43.77771609909091</v>
      </c>
      <c r="R397" s="530">
        <v>34.111841866931812</v>
      </c>
      <c r="S397" s="530">
        <v>98.777490263636381</v>
      </c>
      <c r="T397" s="530">
        <v>787.99557771788784</v>
      </c>
      <c r="U397" s="530" t="s">
        <v>61</v>
      </c>
    </row>
    <row r="398" spans="1:21" ht="13.8" x14ac:dyDescent="0.3">
      <c r="A398" s="530" t="str">
        <f t="shared" si="12"/>
        <v>North Wales.2018.Vehicle Days.Day Visitor</v>
      </c>
      <c r="B398" s="530" t="s">
        <v>220</v>
      </c>
      <c r="C398" s="530" t="str">
        <f t="shared" si="13"/>
        <v>2018.Vehicle Days.Day Visitor</v>
      </c>
      <c r="D398" s="530" t="s">
        <v>244</v>
      </c>
      <c r="E398" s="530" t="s">
        <v>21</v>
      </c>
      <c r="F398" s="530" t="s">
        <v>71</v>
      </c>
      <c r="G398" s="530" t="s">
        <v>71</v>
      </c>
      <c r="H398" s="530">
        <v>110.82440380504612</v>
      </c>
      <c r="I398" s="530">
        <v>203.02726406050442</v>
      </c>
      <c r="J398" s="530">
        <v>319.83114209771179</v>
      </c>
      <c r="K398" s="530">
        <v>400.1622863782847</v>
      </c>
      <c r="L398" s="530">
        <v>466.93422196599766</v>
      </c>
      <c r="M398" s="530">
        <v>577.38947020151102</v>
      </c>
      <c r="N398" s="530">
        <v>637.47956451843834</v>
      </c>
      <c r="O398" s="530">
        <v>790.16643339881261</v>
      </c>
      <c r="P398" s="530">
        <v>418.52838427568412</v>
      </c>
      <c r="Q398" s="530">
        <v>387.83408770159451</v>
      </c>
      <c r="R398" s="530">
        <v>204.10671364425303</v>
      </c>
      <c r="S398" s="530">
        <v>136.00661958229944</v>
      </c>
      <c r="T398" s="530">
        <v>4652.2905916301388</v>
      </c>
      <c r="U398" s="530" t="s">
        <v>61</v>
      </c>
    </row>
    <row r="399" spans="1:21" ht="13.8" x14ac:dyDescent="0.3">
      <c r="A399" s="530" t="str">
        <f t="shared" si="12"/>
        <v>North Wales.2018.Vehicle Days.Total</v>
      </c>
      <c r="B399" s="530" t="s">
        <v>220</v>
      </c>
      <c r="C399" s="530" t="str">
        <f t="shared" si="13"/>
        <v>2018.Vehicle Days.Total</v>
      </c>
      <c r="D399" s="530" t="s">
        <v>244</v>
      </c>
      <c r="E399" s="530" t="s">
        <v>21</v>
      </c>
      <c r="F399" s="530" t="s">
        <v>54</v>
      </c>
      <c r="G399" s="530" t="s">
        <v>54</v>
      </c>
      <c r="H399" s="530">
        <v>465.39098071545783</v>
      </c>
      <c r="I399" s="530">
        <v>628.78936877054389</v>
      </c>
      <c r="J399" s="530">
        <v>1396.1374707582329</v>
      </c>
      <c r="K399" s="530">
        <v>1563.8710083674066</v>
      </c>
      <c r="L399" s="530">
        <v>1823.2926707835529</v>
      </c>
      <c r="M399" s="530">
        <v>2091.1102888889718</v>
      </c>
      <c r="N399" s="530">
        <v>2356.7170561708758</v>
      </c>
      <c r="O399" s="530">
        <v>2539.8542952584548</v>
      </c>
      <c r="P399" s="530">
        <v>1675.5475517518091</v>
      </c>
      <c r="Q399" s="530">
        <v>1491.0404225953689</v>
      </c>
      <c r="R399" s="530">
        <v>757.27668388269103</v>
      </c>
      <c r="S399" s="530">
        <v>517.8351005124639</v>
      </c>
      <c r="T399" s="530">
        <v>17306.862898455827</v>
      </c>
      <c r="U399" s="530" t="s">
        <v>61</v>
      </c>
    </row>
    <row r="400" spans="1:21" ht="13.8" x14ac:dyDescent="0.3">
      <c r="A400" s="530" t="str">
        <f t="shared" si="12"/>
        <v>North Wales.2018.Vehicle Numbers.Serviced Accommodation</v>
      </c>
      <c r="B400" s="530" t="s">
        <v>220</v>
      </c>
      <c r="C400" s="530" t="str">
        <f t="shared" si="13"/>
        <v>2018.Vehicle Numbers.Serviced Accommodation</v>
      </c>
      <c r="D400" s="530" t="s">
        <v>244</v>
      </c>
      <c r="E400" s="530" t="s">
        <v>22</v>
      </c>
      <c r="F400" s="530" t="s">
        <v>43</v>
      </c>
      <c r="G400" s="530" t="s">
        <v>43</v>
      </c>
      <c r="H400" s="530">
        <v>37.332983502952573</v>
      </c>
      <c r="I400" s="530">
        <v>67.938100895115582</v>
      </c>
      <c r="J400" s="530">
        <v>55.420291601891066</v>
      </c>
      <c r="K400" s="530">
        <v>51.407250779575477</v>
      </c>
      <c r="L400" s="530">
        <v>71.505908777789443</v>
      </c>
      <c r="M400" s="530">
        <v>70.115281864249994</v>
      </c>
      <c r="N400" s="530">
        <v>70.293594974380341</v>
      </c>
      <c r="O400" s="530">
        <v>77.35011827381669</v>
      </c>
      <c r="P400" s="530">
        <v>57.870968609277199</v>
      </c>
      <c r="Q400" s="530">
        <v>58.793902319759489</v>
      </c>
      <c r="R400" s="530">
        <v>51.336021238346405</v>
      </c>
      <c r="S400" s="530">
        <v>42.431816281413916</v>
      </c>
      <c r="T400" s="530">
        <v>711.79623911856822</v>
      </c>
      <c r="U400" s="530" t="s">
        <v>61</v>
      </c>
    </row>
    <row r="401" spans="1:21" ht="13.8" x14ac:dyDescent="0.3">
      <c r="A401" s="530" t="str">
        <f t="shared" si="12"/>
        <v>North Wales.2018.Vehicle Numbers.Non-Serviced Accommodation</v>
      </c>
      <c r="B401" s="530" t="s">
        <v>220</v>
      </c>
      <c r="C401" s="530" t="str">
        <f t="shared" si="13"/>
        <v>2018.Vehicle Numbers.Non-Serviced Accommodation</v>
      </c>
      <c r="D401" s="530" t="s">
        <v>244</v>
      </c>
      <c r="E401" s="530" t="s">
        <v>22</v>
      </c>
      <c r="F401" s="530" t="s">
        <v>48</v>
      </c>
      <c r="G401" s="530" t="s">
        <v>48</v>
      </c>
      <c r="H401" s="530">
        <v>55.091279010502198</v>
      </c>
      <c r="I401" s="530">
        <v>72.099557183518542</v>
      </c>
      <c r="J401" s="530">
        <v>192.956588010736</v>
      </c>
      <c r="K401" s="530">
        <v>154.30600437738636</v>
      </c>
      <c r="L401" s="530">
        <v>169.23874573776953</v>
      </c>
      <c r="M401" s="530">
        <v>193.97254449141096</v>
      </c>
      <c r="N401" s="530">
        <v>216.11765567428347</v>
      </c>
      <c r="O401" s="530">
        <v>203.81760750068023</v>
      </c>
      <c r="P401" s="530">
        <v>163.57287967603042</v>
      </c>
      <c r="Q401" s="530">
        <v>141.49591337581438</v>
      </c>
      <c r="R401" s="530">
        <v>97.54723991654771</v>
      </c>
      <c r="S401" s="530">
        <v>39.504678818874581</v>
      </c>
      <c r="T401" s="530">
        <v>1699.7206937735539</v>
      </c>
      <c r="U401" s="530" t="s">
        <v>61</v>
      </c>
    </row>
    <row r="402" spans="1:21" ht="13.8" x14ac:dyDescent="0.3">
      <c r="A402" s="530" t="str">
        <f t="shared" si="12"/>
        <v>North Wales.2018.Vehicle Numbers.SFR</v>
      </c>
      <c r="B402" s="530" t="s">
        <v>220</v>
      </c>
      <c r="C402" s="530" t="str">
        <f t="shared" si="13"/>
        <v>2018.Vehicle Numbers.SFR</v>
      </c>
      <c r="D402" s="530" t="s">
        <v>244</v>
      </c>
      <c r="E402" s="530" t="s">
        <v>22</v>
      </c>
      <c r="F402" s="530" t="s">
        <v>18</v>
      </c>
      <c r="G402" s="530" t="s">
        <v>18</v>
      </c>
      <c r="H402" s="530">
        <v>43.836164318181815</v>
      </c>
      <c r="I402" s="530">
        <v>17.534465727272725</v>
      </c>
      <c r="J402" s="530">
        <v>19.482739696969695</v>
      </c>
      <c r="K402" s="530">
        <v>37.01720542424242</v>
      </c>
      <c r="L402" s="530">
        <v>29.224109545454546</v>
      </c>
      <c r="M402" s="530">
        <v>23.583856403181819</v>
      </c>
      <c r="N402" s="530">
        <v>32.146520499999994</v>
      </c>
      <c r="O402" s="530">
        <v>32.721261321060602</v>
      </c>
      <c r="P402" s="530">
        <v>20.19385969590909</v>
      </c>
      <c r="Q402" s="530">
        <v>20.456876681818176</v>
      </c>
      <c r="R402" s="530">
        <v>16.803862988636361</v>
      </c>
      <c r="S402" s="530">
        <v>37.991342409090912</v>
      </c>
      <c r="T402" s="530">
        <v>330.99226471181817</v>
      </c>
      <c r="U402" s="530" t="s">
        <v>61</v>
      </c>
    </row>
    <row r="403" spans="1:21" ht="13.8" x14ac:dyDescent="0.3">
      <c r="A403" s="530" t="str">
        <f t="shared" si="12"/>
        <v>North Wales.2018.Vehicle Numbers.Day Visitor</v>
      </c>
      <c r="B403" s="530" t="s">
        <v>220</v>
      </c>
      <c r="C403" s="530" t="str">
        <f t="shared" si="13"/>
        <v>2018.Vehicle Numbers.Day Visitor</v>
      </c>
      <c r="D403" s="530" t="s">
        <v>244</v>
      </c>
      <c r="E403" s="530" t="s">
        <v>22</v>
      </c>
      <c r="F403" s="530" t="s">
        <v>71</v>
      </c>
      <c r="G403" s="530" t="s">
        <v>71</v>
      </c>
      <c r="H403" s="530">
        <v>110.82440380504612</v>
      </c>
      <c r="I403" s="530">
        <v>203.02726406050442</v>
      </c>
      <c r="J403" s="530">
        <v>319.83114209771179</v>
      </c>
      <c r="K403" s="530">
        <v>400.1622863782847</v>
      </c>
      <c r="L403" s="530">
        <v>466.93422196599766</v>
      </c>
      <c r="M403" s="530">
        <v>577.38947020151102</v>
      </c>
      <c r="N403" s="530">
        <v>637.47956451843834</v>
      </c>
      <c r="O403" s="530">
        <v>790.16643339881261</v>
      </c>
      <c r="P403" s="530">
        <v>418.52838427568412</v>
      </c>
      <c r="Q403" s="530">
        <v>387.83408770159451</v>
      </c>
      <c r="R403" s="530">
        <v>204.10671364425303</v>
      </c>
      <c r="S403" s="530">
        <v>136.00661958229944</v>
      </c>
      <c r="T403" s="530">
        <v>4652.2905916301388</v>
      </c>
      <c r="U403" s="530" t="s">
        <v>61</v>
      </c>
    </row>
    <row r="404" spans="1:21" ht="13.8" x14ac:dyDescent="0.3">
      <c r="A404" s="530" t="str">
        <f t="shared" si="12"/>
        <v>North Wales.2018.Vehicle Numbers.Total</v>
      </c>
      <c r="B404" s="530" t="s">
        <v>220</v>
      </c>
      <c r="C404" s="530" t="str">
        <f t="shared" si="13"/>
        <v>2018.Vehicle Numbers.Total</v>
      </c>
      <c r="D404" s="530" t="s">
        <v>244</v>
      </c>
      <c r="E404" s="530" t="s">
        <v>22</v>
      </c>
      <c r="F404" s="530" t="s">
        <v>54</v>
      </c>
      <c r="G404" s="530" t="s">
        <v>54</v>
      </c>
      <c r="H404" s="530">
        <v>247.08483063668274</v>
      </c>
      <c r="I404" s="530">
        <v>360.59938786641129</v>
      </c>
      <c r="J404" s="530">
        <v>587.69076140730863</v>
      </c>
      <c r="K404" s="530">
        <v>642.89274695948893</v>
      </c>
      <c r="L404" s="530">
        <v>736.90298602701114</v>
      </c>
      <c r="M404" s="530">
        <v>865.06115296035375</v>
      </c>
      <c r="N404" s="530">
        <v>956.03733566710207</v>
      </c>
      <c r="O404" s="530">
        <v>1104.0554204943701</v>
      </c>
      <c r="P404" s="530">
        <v>660.16609225690081</v>
      </c>
      <c r="Q404" s="530">
        <v>608.58078007898655</v>
      </c>
      <c r="R404" s="530">
        <v>369.7938377877835</v>
      </c>
      <c r="S404" s="530">
        <v>255.93445709167884</v>
      </c>
      <c r="T404" s="530">
        <v>7394.7997892340791</v>
      </c>
      <c r="U404" s="530" t="s">
        <v>61</v>
      </c>
    </row>
    <row r="405" spans="1:21" ht="13.8" x14ac:dyDescent="0.3">
      <c r="A405" s="530" t="str">
        <f t="shared" si="12"/>
        <v>North Wales.2018.Accommodation.Serviced Accommodation</v>
      </c>
      <c r="B405" s="530" t="s">
        <v>220</v>
      </c>
      <c r="C405" s="530" t="str">
        <f t="shared" si="13"/>
        <v>2018.Accommodation.Serviced Accommodation</v>
      </c>
      <c r="D405" s="530" t="s">
        <v>244</v>
      </c>
      <c r="E405" s="530" t="s">
        <v>23</v>
      </c>
      <c r="F405" s="530" t="s">
        <v>43</v>
      </c>
      <c r="G405" s="530" t="s">
        <v>43</v>
      </c>
      <c r="H405" s="530">
        <v>22825</v>
      </c>
      <c r="I405" s="530">
        <v>23728</v>
      </c>
      <c r="J405" s="530">
        <v>24672</v>
      </c>
      <c r="K405" s="530">
        <v>25114</v>
      </c>
      <c r="L405" s="530">
        <v>25106</v>
      </c>
      <c r="M405" s="530">
        <v>25111</v>
      </c>
      <c r="N405" s="530">
        <v>25131</v>
      </c>
      <c r="O405" s="530">
        <v>25131</v>
      </c>
      <c r="P405" s="530">
        <v>25111</v>
      </c>
      <c r="Q405" s="530">
        <v>25003</v>
      </c>
      <c r="R405" s="530">
        <v>24430</v>
      </c>
      <c r="S405" s="530">
        <v>23780</v>
      </c>
      <c r="T405" s="530">
        <v>25131</v>
      </c>
      <c r="U405" s="530" t="s">
        <v>58</v>
      </c>
    </row>
    <row r="406" spans="1:21" ht="13.8" x14ac:dyDescent="0.3">
      <c r="A406" s="530" t="str">
        <f t="shared" si="12"/>
        <v>North Wales.2018.Accommodation.Non-Serviced Accommodation</v>
      </c>
      <c r="B406" s="530" t="s">
        <v>220</v>
      </c>
      <c r="C406" s="530" t="str">
        <f t="shared" si="13"/>
        <v>2018.Accommodation.Non-Serviced Accommodation</v>
      </c>
      <c r="D406" s="530" t="s">
        <v>244</v>
      </c>
      <c r="E406" s="530" t="s">
        <v>23</v>
      </c>
      <c r="F406" s="530" t="s">
        <v>48</v>
      </c>
      <c r="G406" s="530" t="s">
        <v>48</v>
      </c>
      <c r="H406" s="530">
        <v>75117.939542396489</v>
      </c>
      <c r="I406" s="530">
        <v>78223.589528154349</v>
      </c>
      <c r="J406" s="530">
        <v>208068.73899088526</v>
      </c>
      <c r="K406" s="530">
        <v>230880.6523160325</v>
      </c>
      <c r="L406" s="530">
        <v>228395.99756232084</v>
      </c>
      <c r="M406" s="530">
        <v>231349.30058633434</v>
      </c>
      <c r="N406" s="530">
        <v>230557.17791764281</v>
      </c>
      <c r="O406" s="530">
        <v>230598.14464000298</v>
      </c>
      <c r="P406" s="530">
        <v>232224.14706130352</v>
      </c>
      <c r="Q406" s="530">
        <v>227780.47712719138</v>
      </c>
      <c r="R406" s="530">
        <v>132304.31563517373</v>
      </c>
      <c r="S406" s="530">
        <v>98918.831116500704</v>
      </c>
      <c r="T406" s="530">
        <v>232224.14706130352</v>
      </c>
      <c r="U406" s="530" t="s">
        <v>58</v>
      </c>
    </row>
    <row r="407" spans="1:21" ht="13.8" x14ac:dyDescent="0.3">
      <c r="A407" s="530" t="str">
        <f t="shared" si="12"/>
        <v>North Wales.2018.Accommodation.Total</v>
      </c>
      <c r="B407" s="530" t="s">
        <v>220</v>
      </c>
      <c r="C407" s="530" t="str">
        <f t="shared" si="13"/>
        <v>2018.Accommodation.Total</v>
      </c>
      <c r="D407" s="530" t="s">
        <v>244</v>
      </c>
      <c r="E407" s="530" t="s">
        <v>23</v>
      </c>
      <c r="F407" s="530" t="s">
        <v>54</v>
      </c>
      <c r="G407" s="530" t="s">
        <v>54</v>
      </c>
      <c r="H407" s="530">
        <v>97942.939542396489</v>
      </c>
      <c r="I407" s="530">
        <v>101951.58952815435</v>
      </c>
      <c r="J407" s="530">
        <v>232740.73899088526</v>
      </c>
      <c r="K407" s="530">
        <v>255994.6523160325</v>
      </c>
      <c r="L407" s="530">
        <v>253501.99756232084</v>
      </c>
      <c r="M407" s="530">
        <v>256460.30058633434</v>
      </c>
      <c r="N407" s="530">
        <v>255688.17791764281</v>
      </c>
      <c r="O407" s="530">
        <v>255729.14464000298</v>
      </c>
      <c r="P407" s="530">
        <v>257335.14706130352</v>
      </c>
      <c r="Q407" s="530">
        <v>252783.47712719138</v>
      </c>
      <c r="R407" s="530">
        <v>156734.31563517373</v>
      </c>
      <c r="S407" s="530">
        <v>122698.8311165007</v>
      </c>
      <c r="T407" s="530">
        <v>257335.14706130352</v>
      </c>
      <c r="U407" s="530" t="s">
        <v>58</v>
      </c>
    </row>
    <row r="408" spans="1:21" ht="13.8" x14ac:dyDescent="0.3">
      <c r="A408" s="530" t="str">
        <f t="shared" si="12"/>
        <v>North Wales.2018.Economic Impact.Total</v>
      </c>
      <c r="B408" s="530" t="s">
        <v>220</v>
      </c>
      <c r="C408" s="530" t="str">
        <f t="shared" si="13"/>
        <v>2018.Economic Impact.Total</v>
      </c>
      <c r="D408" s="530" t="s">
        <v>244</v>
      </c>
      <c r="E408" s="530" t="s">
        <v>17</v>
      </c>
      <c r="F408" s="530" t="s">
        <v>54</v>
      </c>
      <c r="G408" s="530" t="s">
        <v>54</v>
      </c>
      <c r="H408" s="530">
        <v>92888.182442804144</v>
      </c>
      <c r="I408" s="530">
        <v>117693.42221121793</v>
      </c>
      <c r="J408" s="530">
        <v>246458.1531765218</v>
      </c>
      <c r="K408" s="530">
        <v>296641.05006001855</v>
      </c>
      <c r="L408" s="530">
        <v>341493.65010539966</v>
      </c>
      <c r="M408" s="530">
        <v>375366.99830458272</v>
      </c>
      <c r="N408" s="530">
        <v>483222.32398918056</v>
      </c>
      <c r="O408" s="530">
        <v>537708.00620965799</v>
      </c>
      <c r="P408" s="530">
        <v>362468.06423571531</v>
      </c>
      <c r="Q408" s="530">
        <v>276958.05862210307</v>
      </c>
      <c r="R408" s="530">
        <v>150386.3337556457</v>
      </c>
      <c r="S408" s="530">
        <v>113620.32968545299</v>
      </c>
      <c r="T408" s="530">
        <v>3394904.5727983005</v>
      </c>
      <c r="U408" s="530" t="s">
        <v>57</v>
      </c>
    </row>
    <row r="409" spans="1:21" ht="13.8" x14ac:dyDescent="0.3">
      <c r="A409" s="530" t="str">
        <f t="shared" si="12"/>
        <v>North Wales.2019.Economic Impact.Indirect Expenditure</v>
      </c>
      <c r="B409" s="530" t="s">
        <v>220</v>
      </c>
      <c r="C409" s="530" t="str">
        <f t="shared" si="13"/>
        <v>2019.Economic Impact.Indirect Expenditure</v>
      </c>
      <c r="D409" s="530" t="s">
        <v>245</v>
      </c>
      <c r="E409" s="530" t="s">
        <v>17</v>
      </c>
      <c r="F409" s="530" t="s">
        <v>45</v>
      </c>
      <c r="G409" s="530" t="s">
        <v>45</v>
      </c>
      <c r="H409" s="530">
        <v>28594.232420061453</v>
      </c>
      <c r="I409" s="530">
        <v>33074.707795238646</v>
      </c>
      <c r="J409" s="530">
        <v>68000.881867394128</v>
      </c>
      <c r="K409" s="530">
        <v>88035.673674592996</v>
      </c>
      <c r="L409" s="530">
        <v>95547.218955906297</v>
      </c>
      <c r="M409" s="530">
        <v>99490.918466013216</v>
      </c>
      <c r="N409" s="530">
        <v>131860.75230955612</v>
      </c>
      <c r="O409" s="530">
        <v>146975.55176031357</v>
      </c>
      <c r="P409" s="530">
        <v>101031.36056725646</v>
      </c>
      <c r="Q409" s="530">
        <v>77779.688357856561</v>
      </c>
      <c r="R409" s="530">
        <v>42622.973552141244</v>
      </c>
      <c r="S409" s="530">
        <v>38313.295926567633</v>
      </c>
      <c r="T409" s="530">
        <v>951327.25565289834</v>
      </c>
      <c r="U409" s="530" t="s">
        <v>57</v>
      </c>
    </row>
    <row r="410" spans="1:21" ht="13.8" x14ac:dyDescent="0.3">
      <c r="A410" s="530" t="str">
        <f t="shared" si="12"/>
        <v>North Wales.2019.Economic Impact.Direct Revenue</v>
      </c>
      <c r="B410" s="530" t="s">
        <v>220</v>
      </c>
      <c r="C410" s="530" t="str">
        <f t="shared" si="13"/>
        <v>2019.Economic Impact.Direct Revenue</v>
      </c>
      <c r="D410" s="530" t="s">
        <v>245</v>
      </c>
      <c r="E410" s="530" t="s">
        <v>17</v>
      </c>
      <c r="F410" s="530" t="s">
        <v>46</v>
      </c>
      <c r="G410" s="530" t="s">
        <v>46</v>
      </c>
      <c r="H410" s="530">
        <v>69446.183975689433</v>
      </c>
      <c r="I410" s="530">
        <v>79118.851999440783</v>
      </c>
      <c r="J410" s="530">
        <v>165742.5070463568</v>
      </c>
      <c r="K410" s="530">
        <v>211314.25456682922</v>
      </c>
      <c r="L410" s="530">
        <v>228818.78570615314</v>
      </c>
      <c r="M410" s="530">
        <v>238974.67356028041</v>
      </c>
      <c r="N410" s="530">
        <v>316992.34871797316</v>
      </c>
      <c r="O410" s="530">
        <v>353478.20379072084</v>
      </c>
      <c r="P410" s="530">
        <v>242548.56089890815</v>
      </c>
      <c r="Q410" s="530">
        <v>185332.87049627502</v>
      </c>
      <c r="R410" s="530">
        <v>101362.41121884357</v>
      </c>
      <c r="S410" s="530">
        <v>89433.209190484806</v>
      </c>
      <c r="T410" s="530">
        <v>2282562.8611679547</v>
      </c>
      <c r="U410" s="530" t="s">
        <v>57</v>
      </c>
    </row>
    <row r="411" spans="1:21" ht="13.8" x14ac:dyDescent="0.3">
      <c r="A411" s="530" t="str">
        <f t="shared" si="12"/>
        <v>North Wales.2019.Economic Impact.VAT</v>
      </c>
      <c r="B411" s="530" t="s">
        <v>220</v>
      </c>
      <c r="C411" s="530" t="str">
        <f t="shared" si="13"/>
        <v>2019.Economic Impact.VAT</v>
      </c>
      <c r="D411" s="530" t="s">
        <v>245</v>
      </c>
      <c r="E411" s="530" t="s">
        <v>17</v>
      </c>
      <c r="F411" s="530" t="s">
        <v>47</v>
      </c>
      <c r="G411" s="530" t="s">
        <v>47</v>
      </c>
      <c r="H411" s="530">
        <v>13889.236795137887</v>
      </c>
      <c r="I411" s="530">
        <v>15823.770399888159</v>
      </c>
      <c r="J411" s="530">
        <v>33148.501409271361</v>
      </c>
      <c r="K411" s="530">
        <v>42262.850913365837</v>
      </c>
      <c r="L411" s="530">
        <v>45763.757141230628</v>
      </c>
      <c r="M411" s="530">
        <v>47794.934712056085</v>
      </c>
      <c r="N411" s="530">
        <v>63398.469743594644</v>
      </c>
      <c r="O411" s="530">
        <v>70695.640758144174</v>
      </c>
      <c r="P411" s="530">
        <v>48509.712179781643</v>
      </c>
      <c r="Q411" s="530">
        <v>37066.574099255005</v>
      </c>
      <c r="R411" s="530">
        <v>20272.482243768711</v>
      </c>
      <c r="S411" s="530">
        <v>17886.641838096963</v>
      </c>
      <c r="T411" s="530">
        <v>456512.57223359111</v>
      </c>
      <c r="U411" s="530" t="s">
        <v>57</v>
      </c>
    </row>
    <row r="412" spans="1:21" ht="13.8" x14ac:dyDescent="0.3">
      <c r="A412" s="530" t="str">
        <f t="shared" si="12"/>
        <v>North Wales.2019.Economic Impact.Serviced Accommodation</v>
      </c>
      <c r="B412" s="530" t="s">
        <v>220</v>
      </c>
      <c r="C412" s="530" t="str">
        <f t="shared" si="13"/>
        <v>2019.Economic Impact.Serviced Accommodation</v>
      </c>
      <c r="D412" s="530" t="s">
        <v>245</v>
      </c>
      <c r="E412" s="530" t="s">
        <v>17</v>
      </c>
      <c r="F412" s="530" t="s">
        <v>43</v>
      </c>
      <c r="G412" s="530" t="s">
        <v>43</v>
      </c>
      <c r="H412" s="530">
        <v>27550.881908366551</v>
      </c>
      <c r="I412" s="530">
        <v>27612.937639835392</v>
      </c>
      <c r="J412" s="530">
        <v>33423.786593367135</v>
      </c>
      <c r="K412" s="530">
        <v>36683.024501466505</v>
      </c>
      <c r="L412" s="530">
        <v>42760.065221563535</v>
      </c>
      <c r="M412" s="530">
        <v>45433.789296910887</v>
      </c>
      <c r="N412" s="530">
        <v>67092.350422031101</v>
      </c>
      <c r="O412" s="530">
        <v>80722.474672479919</v>
      </c>
      <c r="P412" s="530">
        <v>64386.514010734398</v>
      </c>
      <c r="Q412" s="530">
        <v>33710.257141132141</v>
      </c>
      <c r="R412" s="530">
        <v>30941.552328067093</v>
      </c>
      <c r="S412" s="530">
        <v>25043.235228945949</v>
      </c>
      <c r="T412" s="530">
        <v>515360.86896490055</v>
      </c>
      <c r="U412" s="530" t="s">
        <v>57</v>
      </c>
    </row>
    <row r="413" spans="1:21" ht="13.8" x14ac:dyDescent="0.3">
      <c r="A413" s="530" t="str">
        <f t="shared" si="12"/>
        <v>North Wales.2019.Economic Impact.Non-Serviced Accommodation</v>
      </c>
      <c r="B413" s="530" t="s">
        <v>220</v>
      </c>
      <c r="C413" s="530" t="str">
        <f t="shared" si="13"/>
        <v>2019.Economic Impact.Non-Serviced Accommodation</v>
      </c>
      <c r="D413" s="530" t="s">
        <v>245</v>
      </c>
      <c r="E413" s="530" t="s">
        <v>17</v>
      </c>
      <c r="F413" s="530" t="s">
        <v>48</v>
      </c>
      <c r="G413" s="530" t="s">
        <v>48</v>
      </c>
      <c r="H413" s="530">
        <v>47522.58841683669</v>
      </c>
      <c r="I413" s="530">
        <v>56197.598506147966</v>
      </c>
      <c r="J413" s="530">
        <v>172802.01511463942</v>
      </c>
      <c r="K413" s="530">
        <v>197467.27930781757</v>
      </c>
      <c r="L413" s="530">
        <v>220680.50209371105</v>
      </c>
      <c r="M413" s="530">
        <v>236350.94233465125</v>
      </c>
      <c r="N413" s="530">
        <v>305760.81455154199</v>
      </c>
      <c r="O413" s="530">
        <v>315493.29429473932</v>
      </c>
      <c r="P413" s="530">
        <v>237042.67980717486</v>
      </c>
      <c r="Q413" s="530">
        <v>192512.94557130217</v>
      </c>
      <c r="R413" s="530">
        <v>93227.427366017888</v>
      </c>
      <c r="S413" s="530">
        <v>80270.205477820331</v>
      </c>
      <c r="T413" s="530">
        <v>2155328.2928424007</v>
      </c>
      <c r="U413" s="530" t="s">
        <v>57</v>
      </c>
    </row>
    <row r="414" spans="1:21" ht="13.8" x14ac:dyDescent="0.3">
      <c r="A414" s="530" t="str">
        <f t="shared" si="12"/>
        <v>North Wales.2019.Economic Impact.SFR</v>
      </c>
      <c r="B414" s="530" t="s">
        <v>220</v>
      </c>
      <c r="C414" s="530" t="str">
        <f t="shared" si="13"/>
        <v>2019.Economic Impact.SFR</v>
      </c>
      <c r="D414" s="530" t="s">
        <v>245</v>
      </c>
      <c r="E414" s="530" t="s">
        <v>17</v>
      </c>
      <c r="F414" s="530" t="s">
        <v>18</v>
      </c>
      <c r="G414" s="530" t="s">
        <v>18</v>
      </c>
      <c r="H414" s="530">
        <v>14842.397889089465</v>
      </c>
      <c r="I414" s="530">
        <v>4987.0456907340595</v>
      </c>
      <c r="J414" s="530">
        <v>5673.0943042741956</v>
      </c>
      <c r="K414" s="530">
        <v>13536.266874849591</v>
      </c>
      <c r="L414" s="530">
        <v>8707.5400949324867</v>
      </c>
      <c r="M414" s="530">
        <v>6707.5764540373111</v>
      </c>
      <c r="N414" s="530">
        <v>10884.425118665607</v>
      </c>
      <c r="O414" s="530">
        <v>11522.186464406574</v>
      </c>
      <c r="P414" s="530">
        <v>5934.8614300674617</v>
      </c>
      <c r="Q414" s="530">
        <v>5929.0432100949374</v>
      </c>
      <c r="R414" s="530">
        <v>4619.9437162772465</v>
      </c>
      <c r="S414" s="530">
        <v>13377.947964032637</v>
      </c>
      <c r="T414" s="530">
        <v>106722.32921146159</v>
      </c>
      <c r="U414" s="530" t="s">
        <v>57</v>
      </c>
    </row>
    <row r="415" spans="1:21" ht="13.8" x14ac:dyDescent="0.3">
      <c r="A415" s="530" t="str">
        <f t="shared" si="12"/>
        <v>North Wales.2019.Economic Impact.Day Visitor</v>
      </c>
      <c r="B415" s="530" t="s">
        <v>220</v>
      </c>
      <c r="C415" s="530" t="str">
        <f t="shared" si="13"/>
        <v>2019.Economic Impact.Day Visitor</v>
      </c>
      <c r="D415" s="530" t="s">
        <v>245</v>
      </c>
      <c r="E415" s="530" t="s">
        <v>17</v>
      </c>
      <c r="F415" s="530" t="s">
        <v>71</v>
      </c>
      <c r="G415" s="530" t="s">
        <v>71</v>
      </c>
      <c r="H415" s="530">
        <v>22013.784976596071</v>
      </c>
      <c r="I415" s="530">
        <v>39219.748357850171</v>
      </c>
      <c r="J415" s="530">
        <v>54992.994310741487</v>
      </c>
      <c r="K415" s="530">
        <v>93926.208470654339</v>
      </c>
      <c r="L415" s="530">
        <v>97981.654393082979</v>
      </c>
      <c r="M415" s="530">
        <v>97768.218652750249</v>
      </c>
      <c r="N415" s="530">
        <v>128513.98067888526</v>
      </c>
      <c r="O415" s="530">
        <v>163411.44087755278</v>
      </c>
      <c r="P415" s="530">
        <v>84725.578397969512</v>
      </c>
      <c r="Q415" s="530">
        <v>68026.887030857295</v>
      </c>
      <c r="R415" s="530">
        <v>35468.943604391286</v>
      </c>
      <c r="S415" s="530">
        <v>26941.758284350464</v>
      </c>
      <c r="T415" s="530">
        <v>912991.19803568185</v>
      </c>
      <c r="U415" s="530" t="s">
        <v>57</v>
      </c>
    </row>
    <row r="416" spans="1:21" ht="13.8" x14ac:dyDescent="0.3">
      <c r="A416" s="530" t="str">
        <f t="shared" si="12"/>
        <v>North Wales.2019.Economic Impact.Accommodation</v>
      </c>
      <c r="B416" s="530" t="s">
        <v>220</v>
      </c>
      <c r="C416" s="530" t="str">
        <f t="shared" si="13"/>
        <v>2019.Economic Impact.Accommodation</v>
      </c>
      <c r="D416" s="530" t="s">
        <v>245</v>
      </c>
      <c r="E416" s="530" t="s">
        <v>17</v>
      </c>
      <c r="F416" s="530" t="s">
        <v>23</v>
      </c>
      <c r="G416" s="530" t="s">
        <v>23</v>
      </c>
      <c r="H416" s="530">
        <v>18815.100362269317</v>
      </c>
      <c r="I416" s="530">
        <v>19587.049747857556</v>
      </c>
      <c r="J416" s="530">
        <v>34901.071212526142</v>
      </c>
      <c r="K416" s="530">
        <v>43647.166779771513</v>
      </c>
      <c r="L416" s="530">
        <v>47670.285287443636</v>
      </c>
      <c r="M416" s="530">
        <v>51123.106915000084</v>
      </c>
      <c r="N416" s="530">
        <v>84167.174605328473</v>
      </c>
      <c r="O416" s="530">
        <v>92628.645227645276</v>
      </c>
      <c r="P416" s="530">
        <v>75270.673640243796</v>
      </c>
      <c r="Q416" s="530">
        <v>40126.649363620432</v>
      </c>
      <c r="R416" s="530">
        <v>29893.905256335838</v>
      </c>
      <c r="S416" s="530">
        <v>29052.245909858393</v>
      </c>
      <c r="T416" s="530">
        <v>566883.0743079005</v>
      </c>
      <c r="U416" s="530" t="s">
        <v>57</v>
      </c>
    </row>
    <row r="417" spans="1:21" ht="13.8" x14ac:dyDescent="0.3">
      <c r="A417" s="530" t="str">
        <f t="shared" si="12"/>
        <v>North Wales.2019.Economic Impact.Food &amp; Drink</v>
      </c>
      <c r="B417" s="530" t="s">
        <v>220</v>
      </c>
      <c r="C417" s="530" t="str">
        <f t="shared" si="13"/>
        <v>2019.Economic Impact.Food &amp; Drink</v>
      </c>
      <c r="D417" s="530" t="s">
        <v>245</v>
      </c>
      <c r="E417" s="530" t="s">
        <v>17</v>
      </c>
      <c r="F417" s="530" t="s">
        <v>49</v>
      </c>
      <c r="G417" s="530" t="s">
        <v>49</v>
      </c>
      <c r="H417" s="530">
        <v>16764.7864904001</v>
      </c>
      <c r="I417" s="530">
        <v>18161.539193149176</v>
      </c>
      <c r="J417" s="530">
        <v>42176.864062555309</v>
      </c>
      <c r="K417" s="530">
        <v>53488.885180428151</v>
      </c>
      <c r="L417" s="530">
        <v>58061.512820432967</v>
      </c>
      <c r="M417" s="530">
        <v>60060.75209155435</v>
      </c>
      <c r="N417" s="530">
        <v>75034.995113457568</v>
      </c>
      <c r="O417" s="530">
        <v>82818.173924089497</v>
      </c>
      <c r="P417" s="530">
        <v>54432.948909707673</v>
      </c>
      <c r="Q417" s="530">
        <v>47722.240030352361</v>
      </c>
      <c r="R417" s="530">
        <v>23587.143287490282</v>
      </c>
      <c r="S417" s="530">
        <v>20529.749330923558</v>
      </c>
      <c r="T417" s="530">
        <v>552839.59043454099</v>
      </c>
      <c r="U417" s="530" t="s">
        <v>57</v>
      </c>
    </row>
    <row r="418" spans="1:21" ht="13.8" x14ac:dyDescent="0.3">
      <c r="A418" s="530" t="str">
        <f t="shared" si="12"/>
        <v>North Wales.2019.Economic Impact.Recreation</v>
      </c>
      <c r="B418" s="530" t="s">
        <v>220</v>
      </c>
      <c r="C418" s="530" t="str">
        <f t="shared" si="13"/>
        <v>2019.Economic Impact.Recreation</v>
      </c>
      <c r="D418" s="530" t="s">
        <v>245</v>
      </c>
      <c r="E418" s="530" t="s">
        <v>17</v>
      </c>
      <c r="F418" s="530" t="s">
        <v>50</v>
      </c>
      <c r="G418" s="530" t="s">
        <v>50</v>
      </c>
      <c r="H418" s="530">
        <v>4941.3750675926476</v>
      </c>
      <c r="I418" s="530">
        <v>5925.6661542398342</v>
      </c>
      <c r="J418" s="530">
        <v>15942.252431175688</v>
      </c>
      <c r="K418" s="530">
        <v>17369.375361938954</v>
      </c>
      <c r="L418" s="530">
        <v>18844.223865016826</v>
      </c>
      <c r="M418" s="530">
        <v>20408.954734878906</v>
      </c>
      <c r="N418" s="530">
        <v>24191.607426615352</v>
      </c>
      <c r="O418" s="530">
        <v>26391.996462302763</v>
      </c>
      <c r="P418" s="530">
        <v>17644.394936327131</v>
      </c>
      <c r="Q418" s="530">
        <v>16020.317131350819</v>
      </c>
      <c r="R418" s="530">
        <v>8022.876409685583</v>
      </c>
      <c r="S418" s="530">
        <v>6683.9776002197341</v>
      </c>
      <c r="T418" s="530">
        <v>182387.01758134426</v>
      </c>
      <c r="U418" s="530" t="s">
        <v>57</v>
      </c>
    </row>
    <row r="419" spans="1:21" ht="13.8" x14ac:dyDescent="0.3">
      <c r="A419" s="530" t="str">
        <f t="shared" si="12"/>
        <v>North Wales.2019.Economic Impact.Shopping</v>
      </c>
      <c r="B419" s="530" t="s">
        <v>220</v>
      </c>
      <c r="C419" s="530" t="str">
        <f t="shared" si="13"/>
        <v>2019.Economic Impact.Shopping</v>
      </c>
      <c r="D419" s="530" t="s">
        <v>245</v>
      </c>
      <c r="E419" s="530" t="s">
        <v>17</v>
      </c>
      <c r="F419" s="530" t="s">
        <v>51</v>
      </c>
      <c r="G419" s="530" t="s">
        <v>51</v>
      </c>
      <c r="H419" s="530">
        <v>22133.00566030839</v>
      </c>
      <c r="I419" s="530">
        <v>27263.851540269116</v>
      </c>
      <c r="J419" s="530">
        <v>53202.006567443925</v>
      </c>
      <c r="K419" s="530">
        <v>72626.041402974835</v>
      </c>
      <c r="L419" s="530">
        <v>78116.462398058007</v>
      </c>
      <c r="M419" s="530">
        <v>79847.960248040996</v>
      </c>
      <c r="N419" s="530">
        <v>100023.79222076308</v>
      </c>
      <c r="O419" s="530">
        <v>114690.62649125875</v>
      </c>
      <c r="P419" s="530">
        <v>71122.127792714484</v>
      </c>
      <c r="Q419" s="530">
        <v>60382.761165567208</v>
      </c>
      <c r="R419" s="530">
        <v>29631.486416923373</v>
      </c>
      <c r="S419" s="530">
        <v>24774.823181608393</v>
      </c>
      <c r="T419" s="530">
        <v>733814.94508593052</v>
      </c>
      <c r="U419" s="530" t="s">
        <v>57</v>
      </c>
    </row>
    <row r="420" spans="1:21" ht="13.8" x14ac:dyDescent="0.3">
      <c r="A420" s="530" t="str">
        <f t="shared" si="12"/>
        <v>North Wales.2019.Economic Impact.Transport</v>
      </c>
      <c r="B420" s="530" t="s">
        <v>220</v>
      </c>
      <c r="C420" s="530" t="str">
        <f t="shared" si="13"/>
        <v>2019.Economic Impact.Transport</v>
      </c>
      <c r="D420" s="530" t="s">
        <v>245</v>
      </c>
      <c r="E420" s="530" t="s">
        <v>17</v>
      </c>
      <c r="F420" s="530" t="s">
        <v>52</v>
      </c>
      <c r="G420" s="530" t="s">
        <v>52</v>
      </c>
      <c r="H420" s="530">
        <v>6791.9163951189767</v>
      </c>
      <c r="I420" s="530">
        <v>8180.7453639251125</v>
      </c>
      <c r="J420" s="530">
        <v>19520.312772655729</v>
      </c>
      <c r="K420" s="530">
        <v>24182.785841715759</v>
      </c>
      <c r="L420" s="530">
        <v>26126.301335201715</v>
      </c>
      <c r="M420" s="530">
        <v>27533.899570806076</v>
      </c>
      <c r="N420" s="530">
        <v>33574.77935180872</v>
      </c>
      <c r="O420" s="530">
        <v>36948.761685424608</v>
      </c>
      <c r="P420" s="530">
        <v>24078.415619915068</v>
      </c>
      <c r="Q420" s="530">
        <v>21080.902805384183</v>
      </c>
      <c r="R420" s="530">
        <v>10226.99984840849</v>
      </c>
      <c r="S420" s="530">
        <v>8392.4131678747272</v>
      </c>
      <c r="T420" s="530">
        <v>246638.23375823913</v>
      </c>
      <c r="U420" s="530" t="s">
        <v>57</v>
      </c>
    </row>
    <row r="421" spans="1:21" ht="13.8" x14ac:dyDescent="0.3">
      <c r="A421" s="530" t="str">
        <f t="shared" si="12"/>
        <v>North Wales.2019.Economic Impact.Direct Expenditure</v>
      </c>
      <c r="B421" s="530" t="s">
        <v>220</v>
      </c>
      <c r="C421" s="530" t="str">
        <f t="shared" si="13"/>
        <v>2019.Economic Impact.Direct Expenditure</v>
      </c>
      <c r="D421" s="530" t="s">
        <v>245</v>
      </c>
      <c r="E421" s="530" t="s">
        <v>17</v>
      </c>
      <c r="F421" s="530" t="s">
        <v>44</v>
      </c>
      <c r="G421" s="530" t="s">
        <v>44</v>
      </c>
      <c r="H421" s="530">
        <v>83335.420770827317</v>
      </c>
      <c r="I421" s="530">
        <v>94942.622399328946</v>
      </c>
      <c r="J421" s="530">
        <v>198891.00845562812</v>
      </c>
      <c r="K421" s="530">
        <v>253577.10548019499</v>
      </c>
      <c r="L421" s="530">
        <v>274582.54284738377</v>
      </c>
      <c r="M421" s="530">
        <v>286769.60827233648</v>
      </c>
      <c r="N421" s="530">
        <v>380390.81846156786</v>
      </c>
      <c r="O421" s="530">
        <v>424173.84454886505</v>
      </c>
      <c r="P421" s="530">
        <v>291058.27307868982</v>
      </c>
      <c r="Q421" s="530">
        <v>222399.44459552999</v>
      </c>
      <c r="R421" s="530">
        <v>121634.89346261226</v>
      </c>
      <c r="S421" s="530">
        <v>107319.85102858178</v>
      </c>
      <c r="T421" s="530">
        <v>2739075.4334015464</v>
      </c>
      <c r="U421" s="530" t="s">
        <v>57</v>
      </c>
    </row>
    <row r="422" spans="1:21" ht="13.8" x14ac:dyDescent="0.3">
      <c r="A422" s="530" t="str">
        <f t="shared" si="12"/>
        <v>North Wales.2019.Population.Total</v>
      </c>
      <c r="B422" s="530" t="s">
        <v>220</v>
      </c>
      <c r="C422" s="530" t="str">
        <f t="shared" si="13"/>
        <v>2019.Population.Total</v>
      </c>
      <c r="D422" s="530" t="s">
        <v>245</v>
      </c>
      <c r="E422" s="530" t="s">
        <v>19</v>
      </c>
      <c r="F422" s="530" t="s">
        <v>54</v>
      </c>
      <c r="G422" s="530" t="s">
        <v>54</v>
      </c>
      <c r="H422" s="530">
        <v>291719</v>
      </c>
      <c r="I422" s="530">
        <v>291719</v>
      </c>
      <c r="J422" s="530">
        <v>291719</v>
      </c>
      <c r="K422" s="530">
        <v>291719</v>
      </c>
      <c r="L422" s="530">
        <v>291719</v>
      </c>
      <c r="M422" s="530">
        <v>291719</v>
      </c>
      <c r="N422" s="530">
        <v>291719</v>
      </c>
      <c r="O422" s="530">
        <v>291719</v>
      </c>
      <c r="P422" s="530">
        <v>291719</v>
      </c>
      <c r="Q422" s="530">
        <v>291719</v>
      </c>
      <c r="R422" s="530">
        <v>291719</v>
      </c>
      <c r="S422" s="530">
        <v>291719</v>
      </c>
      <c r="T422" s="530">
        <v>291719</v>
      </c>
      <c r="U422" s="530" t="s">
        <v>60</v>
      </c>
    </row>
    <row r="423" spans="1:21" ht="13.8" x14ac:dyDescent="0.3">
      <c r="A423" s="530" t="str">
        <f t="shared" si="12"/>
        <v>North Wales.2019.Employment.Serviced Accommodation</v>
      </c>
      <c r="B423" s="530" t="s">
        <v>220</v>
      </c>
      <c r="C423" s="530" t="str">
        <f t="shared" si="13"/>
        <v>2019.Employment.Serviced Accommodation</v>
      </c>
      <c r="D423" s="530" t="s">
        <v>245</v>
      </c>
      <c r="E423" s="530" t="s">
        <v>20</v>
      </c>
      <c r="F423" s="530" t="s">
        <v>43</v>
      </c>
      <c r="G423" s="530" t="s">
        <v>43</v>
      </c>
      <c r="H423" s="530">
        <v>6082.6187265066583</v>
      </c>
      <c r="I423" s="530">
        <v>6214.2892117088522</v>
      </c>
      <c r="J423" s="530">
        <v>6798.8814120147981</v>
      </c>
      <c r="K423" s="530">
        <v>6995.9884591814634</v>
      </c>
      <c r="L423" s="530">
        <v>7318.8071509458605</v>
      </c>
      <c r="M423" s="530">
        <v>7457.5534179309498</v>
      </c>
      <c r="N423" s="530">
        <v>7681.2216435682003</v>
      </c>
      <c r="O423" s="530">
        <v>8385.7171503024765</v>
      </c>
      <c r="P423" s="530">
        <v>7573.6433950965284</v>
      </c>
      <c r="Q423" s="530">
        <v>6838.1280428188411</v>
      </c>
      <c r="R423" s="530">
        <v>6494.4249874273764</v>
      </c>
      <c r="S423" s="530">
        <v>6088.9551647862027</v>
      </c>
      <c r="T423" s="530">
        <v>6994.1857301906857</v>
      </c>
      <c r="U423" s="530" t="s">
        <v>59</v>
      </c>
    </row>
    <row r="424" spans="1:21" ht="13.8" x14ac:dyDescent="0.3">
      <c r="A424" s="530" t="str">
        <f t="shared" si="12"/>
        <v>North Wales.2019.Employment.Non-Serviced Accommodation</v>
      </c>
      <c r="B424" s="530" t="s">
        <v>220</v>
      </c>
      <c r="C424" s="530" t="str">
        <f t="shared" si="13"/>
        <v>2019.Employment.Non-Serviced Accommodation</v>
      </c>
      <c r="D424" s="530" t="s">
        <v>245</v>
      </c>
      <c r="E424" s="530" t="s">
        <v>20</v>
      </c>
      <c r="F424" s="530" t="s">
        <v>48</v>
      </c>
      <c r="G424" s="530" t="s">
        <v>48</v>
      </c>
      <c r="H424" s="530">
        <v>9099.2490431890819</v>
      </c>
      <c r="I424" s="530">
        <v>9888.6519623106178</v>
      </c>
      <c r="J424" s="530">
        <v>21610.543895636205</v>
      </c>
      <c r="K424" s="530">
        <v>23039.060665298679</v>
      </c>
      <c r="L424" s="530">
        <v>25387.59499586096</v>
      </c>
      <c r="M424" s="530">
        <v>26595.532051855538</v>
      </c>
      <c r="N424" s="530">
        <v>30631.601451456609</v>
      </c>
      <c r="O424" s="530">
        <v>33786.452363308548</v>
      </c>
      <c r="P424" s="530">
        <v>24410.902226405626</v>
      </c>
      <c r="Q424" s="530">
        <v>22844.326355536658</v>
      </c>
      <c r="R424" s="530">
        <v>12565.852178741186</v>
      </c>
      <c r="S424" s="530">
        <v>10691.764730161705</v>
      </c>
      <c r="T424" s="530">
        <v>20879.294326646781</v>
      </c>
      <c r="U424" s="530" t="s">
        <v>59</v>
      </c>
    </row>
    <row r="425" spans="1:21" ht="13.8" x14ac:dyDescent="0.3">
      <c r="A425" s="530" t="str">
        <f t="shared" si="12"/>
        <v>North Wales.2019.Employment.SFR</v>
      </c>
      <c r="B425" s="530" t="s">
        <v>220</v>
      </c>
      <c r="C425" s="530" t="str">
        <f t="shared" si="13"/>
        <v>2019.Employment.SFR</v>
      </c>
      <c r="D425" s="530" t="s">
        <v>245</v>
      </c>
      <c r="E425" s="530" t="s">
        <v>20</v>
      </c>
      <c r="F425" s="530" t="s">
        <v>18</v>
      </c>
      <c r="G425" s="530" t="s">
        <v>18</v>
      </c>
      <c r="H425" s="530">
        <v>1711.8165454688033</v>
      </c>
      <c r="I425" s="530">
        <v>575.17035927751795</v>
      </c>
      <c r="J425" s="530">
        <v>654.29432404585373</v>
      </c>
      <c r="K425" s="530">
        <v>1561.1766894675486</v>
      </c>
      <c r="L425" s="530">
        <v>1004.2657066750312</v>
      </c>
      <c r="M425" s="530">
        <v>773.60413322826162</v>
      </c>
      <c r="N425" s="530">
        <v>1255.3321333437891</v>
      </c>
      <c r="O425" s="530">
        <v>1328.8869882841998</v>
      </c>
      <c r="P425" s="530">
        <v>684.48468144909498</v>
      </c>
      <c r="Q425" s="530">
        <v>683.81364936327134</v>
      </c>
      <c r="R425" s="530">
        <v>532.83143005292277</v>
      </c>
      <c r="S425" s="530">
        <v>1542.9173129825481</v>
      </c>
      <c r="T425" s="530">
        <v>1025.716162803237</v>
      </c>
      <c r="U425" s="530" t="s">
        <v>59</v>
      </c>
    </row>
    <row r="426" spans="1:21" ht="13.8" x14ac:dyDescent="0.3">
      <c r="A426" s="530" t="str">
        <f t="shared" si="12"/>
        <v>North Wales.2019.Employment.Day Visitor</v>
      </c>
      <c r="B426" s="530" t="s">
        <v>220</v>
      </c>
      <c r="C426" s="530" t="str">
        <f t="shared" si="13"/>
        <v>2019.Employment.Day Visitor</v>
      </c>
      <c r="D426" s="530" t="s">
        <v>245</v>
      </c>
      <c r="E426" s="530" t="s">
        <v>20</v>
      </c>
      <c r="F426" s="530" t="s">
        <v>71</v>
      </c>
      <c r="G426" s="530" t="s">
        <v>71</v>
      </c>
      <c r="H426" s="530">
        <v>2394.9892028529557</v>
      </c>
      <c r="I426" s="530">
        <v>4227.6940859379456</v>
      </c>
      <c r="J426" s="530">
        <v>5957.3411037889655</v>
      </c>
      <c r="K426" s="530">
        <v>10094.309085783634</v>
      </c>
      <c r="L426" s="530">
        <v>10541.510293617061</v>
      </c>
      <c r="M426" s="530">
        <v>10517.82944706781</v>
      </c>
      <c r="N426" s="530">
        <v>13849.520061754161</v>
      </c>
      <c r="O426" s="530">
        <v>17596.70134819729</v>
      </c>
      <c r="P426" s="530">
        <v>9125.0207989200826</v>
      </c>
      <c r="Q426" s="530">
        <v>7359.0015874837227</v>
      </c>
      <c r="R426" s="530">
        <v>3849.6488784477815</v>
      </c>
      <c r="S426" s="530">
        <v>2936.3239274956504</v>
      </c>
      <c r="T426" s="530">
        <v>8204.157485112255</v>
      </c>
      <c r="U426" s="530" t="s">
        <v>59</v>
      </c>
    </row>
    <row r="427" spans="1:21" ht="13.8" x14ac:dyDescent="0.3">
      <c r="A427" s="530" t="str">
        <f t="shared" si="12"/>
        <v>North Wales.2019.Employment.Direct Employment</v>
      </c>
      <c r="B427" s="530" t="s">
        <v>220</v>
      </c>
      <c r="C427" s="530" t="str">
        <f t="shared" si="13"/>
        <v>2019.Employment.Direct Employment</v>
      </c>
      <c r="D427" s="530" t="s">
        <v>245</v>
      </c>
      <c r="E427" s="530" t="s">
        <v>20</v>
      </c>
      <c r="F427" s="530" t="s">
        <v>55</v>
      </c>
      <c r="G427" s="530" t="s">
        <v>55</v>
      </c>
      <c r="H427" s="530">
        <v>19288.673518017502</v>
      </c>
      <c r="I427" s="530">
        <v>20905.805619234936</v>
      </c>
      <c r="J427" s="530">
        <v>35021.060735485822</v>
      </c>
      <c r="K427" s="530">
        <v>41690.534899731327</v>
      </c>
      <c r="L427" s="530">
        <v>44252.178147098908</v>
      </c>
      <c r="M427" s="530">
        <v>45344.519050082556</v>
      </c>
      <c r="N427" s="530">
        <v>53417.675290122766</v>
      </c>
      <c r="O427" s="530">
        <v>61097.757850092508</v>
      </c>
      <c r="P427" s="530">
        <v>41794.05110187133</v>
      </c>
      <c r="Q427" s="530">
        <v>37725.269635202494</v>
      </c>
      <c r="R427" s="530">
        <v>23442.757474669266</v>
      </c>
      <c r="S427" s="530">
        <v>21259.961135426103</v>
      </c>
      <c r="T427" s="530">
        <v>37103.353704752961</v>
      </c>
      <c r="U427" s="530" t="s">
        <v>59</v>
      </c>
    </row>
    <row r="428" spans="1:21" ht="13.8" x14ac:dyDescent="0.3">
      <c r="A428" s="530" t="str">
        <f t="shared" si="12"/>
        <v>North Wales.2019.Employment.Indirect Employment</v>
      </c>
      <c r="B428" s="530" t="s">
        <v>220</v>
      </c>
      <c r="C428" s="530" t="str">
        <f t="shared" si="13"/>
        <v>2019.Employment.Indirect Employment</v>
      </c>
      <c r="D428" s="530" t="s">
        <v>245</v>
      </c>
      <c r="E428" s="530" t="s">
        <v>20</v>
      </c>
      <c r="F428" s="530" t="s">
        <v>53</v>
      </c>
      <c r="G428" s="530" t="s">
        <v>53</v>
      </c>
      <c r="H428" s="530">
        <v>3499.0466733287685</v>
      </c>
      <c r="I428" s="530">
        <v>4047.3178150799313</v>
      </c>
      <c r="J428" s="530">
        <v>8321.1976452493491</v>
      </c>
      <c r="K428" s="530">
        <v>10772.834415699261</v>
      </c>
      <c r="L428" s="530">
        <v>11692.014449701423</v>
      </c>
      <c r="M428" s="530">
        <v>12174.600883522477</v>
      </c>
      <c r="N428" s="530">
        <v>16135.664001516478</v>
      </c>
      <c r="O428" s="530">
        <v>17985.246391393783</v>
      </c>
      <c r="P428" s="530">
        <v>12363.103191632315</v>
      </c>
      <c r="Q428" s="530">
        <v>9517.8200905356352</v>
      </c>
      <c r="R428" s="530">
        <v>5215.7292290302839</v>
      </c>
      <c r="S428" s="530">
        <v>4688.3584314038735</v>
      </c>
      <c r="T428" s="530">
        <v>9701.0777681744639</v>
      </c>
      <c r="U428" s="530" t="s">
        <v>59</v>
      </c>
    </row>
    <row r="429" spans="1:21" ht="13.8" x14ac:dyDescent="0.3">
      <c r="A429" s="530" t="str">
        <f t="shared" si="12"/>
        <v>North Wales.2019.Employment.Total</v>
      </c>
      <c r="B429" s="530" t="s">
        <v>220</v>
      </c>
      <c r="C429" s="530" t="str">
        <f t="shared" si="13"/>
        <v>2019.Employment.Total</v>
      </c>
      <c r="D429" s="530" t="s">
        <v>245</v>
      </c>
      <c r="E429" s="530" t="s">
        <v>20</v>
      </c>
      <c r="F429" s="530" t="s">
        <v>54</v>
      </c>
      <c r="G429" s="530" t="s">
        <v>54</v>
      </c>
      <c r="H429" s="530">
        <v>22787.72019134627</v>
      </c>
      <c r="I429" s="530">
        <v>24953.123434314868</v>
      </c>
      <c r="J429" s="530">
        <v>43342.258380735169</v>
      </c>
      <c r="K429" s="530">
        <v>52463.369315430587</v>
      </c>
      <c r="L429" s="530">
        <v>55944.192596800334</v>
      </c>
      <c r="M429" s="530">
        <v>57519.119933605034</v>
      </c>
      <c r="N429" s="530">
        <v>69553.339291639248</v>
      </c>
      <c r="O429" s="530">
        <v>79083.004241486284</v>
      </c>
      <c r="P429" s="530">
        <v>54157.154293503641</v>
      </c>
      <c r="Q429" s="530">
        <v>47243.089725738129</v>
      </c>
      <c r="R429" s="530">
        <v>28658.486703699549</v>
      </c>
      <c r="S429" s="530">
        <v>25948.319566829978</v>
      </c>
      <c r="T429" s="530">
        <v>46804.431472927427</v>
      </c>
      <c r="U429" s="530" t="s">
        <v>59</v>
      </c>
    </row>
    <row r="430" spans="1:21" ht="13.8" x14ac:dyDescent="0.3">
      <c r="A430" s="530" t="str">
        <f t="shared" si="12"/>
        <v>North Wales.2019.Employment.Accommodation</v>
      </c>
      <c r="B430" s="530" t="s">
        <v>220</v>
      </c>
      <c r="C430" s="530" t="str">
        <f t="shared" si="13"/>
        <v>2019.Employment.Accommodation</v>
      </c>
      <c r="D430" s="530" t="s">
        <v>245</v>
      </c>
      <c r="E430" s="530" t="s">
        <v>20</v>
      </c>
      <c r="F430" s="530" t="s">
        <v>23</v>
      </c>
      <c r="G430" s="530" t="s">
        <v>23</v>
      </c>
      <c r="H430" s="530">
        <v>10258.327505537711</v>
      </c>
      <c r="I430" s="530">
        <v>10378.368207039028</v>
      </c>
      <c r="J430" s="530">
        <v>11774.473285404712</v>
      </c>
      <c r="K430" s="530">
        <v>11990.687088755862</v>
      </c>
      <c r="L430" s="530">
        <v>12147.024930276262</v>
      </c>
      <c r="M430" s="530">
        <v>12059.208060006722</v>
      </c>
      <c r="N430" s="530">
        <v>12133.822787023881</v>
      </c>
      <c r="O430" s="530">
        <v>14881.610028626419</v>
      </c>
      <c r="P430" s="530">
        <v>12091.126322838638</v>
      </c>
      <c r="Q430" s="530">
        <v>11902.508853821901</v>
      </c>
      <c r="R430" s="530">
        <v>10709.385775862069</v>
      </c>
      <c r="S430" s="530">
        <v>10454.277442528735</v>
      </c>
      <c r="T430" s="530">
        <v>11731.735023976828</v>
      </c>
      <c r="U430" s="530" t="s">
        <v>59</v>
      </c>
    </row>
    <row r="431" spans="1:21" ht="13.8" x14ac:dyDescent="0.3">
      <c r="A431" s="530" t="str">
        <f t="shared" si="12"/>
        <v>North Wales.2019.Employment.Food &amp; Drink</v>
      </c>
      <c r="B431" s="530" t="s">
        <v>220</v>
      </c>
      <c r="C431" s="530" t="str">
        <f t="shared" si="13"/>
        <v>2019.Employment.Food &amp; Drink</v>
      </c>
      <c r="D431" s="530" t="s">
        <v>245</v>
      </c>
      <c r="E431" s="530" t="s">
        <v>20</v>
      </c>
      <c r="F431" s="530" t="s">
        <v>49</v>
      </c>
      <c r="G431" s="530" t="s">
        <v>49</v>
      </c>
      <c r="H431" s="530">
        <v>3681.3811164706112</v>
      </c>
      <c r="I431" s="530">
        <v>3988.0941800234427</v>
      </c>
      <c r="J431" s="530">
        <v>9261.6217331935404</v>
      </c>
      <c r="K431" s="530">
        <v>11745.629564507117</v>
      </c>
      <c r="L431" s="530">
        <v>12749.733318301094</v>
      </c>
      <c r="M431" s="530">
        <v>13188.746466737386</v>
      </c>
      <c r="N431" s="530">
        <v>16476.941966622973</v>
      </c>
      <c r="O431" s="530">
        <v>18186.050968159128</v>
      </c>
      <c r="P431" s="530">
        <v>11952.936611793679</v>
      </c>
      <c r="Q431" s="530">
        <v>10479.331388086428</v>
      </c>
      <c r="R431" s="530">
        <v>5179.5031174286623</v>
      </c>
      <c r="S431" s="530">
        <v>4508.1296774053608</v>
      </c>
      <c r="T431" s="530">
        <v>10116.50834239412</v>
      </c>
      <c r="U431" s="530" t="s">
        <v>59</v>
      </c>
    </row>
    <row r="432" spans="1:21" ht="13.8" x14ac:dyDescent="0.3">
      <c r="A432" s="530" t="str">
        <f t="shared" si="12"/>
        <v>North Wales.2019.Employment.Recreation</v>
      </c>
      <c r="B432" s="530" t="s">
        <v>220</v>
      </c>
      <c r="C432" s="530" t="str">
        <f t="shared" si="13"/>
        <v>2019.Employment.Recreation</v>
      </c>
      <c r="D432" s="530" t="s">
        <v>245</v>
      </c>
      <c r="E432" s="530" t="s">
        <v>20</v>
      </c>
      <c r="F432" s="530" t="s">
        <v>50</v>
      </c>
      <c r="G432" s="530" t="s">
        <v>50</v>
      </c>
      <c r="H432" s="530">
        <v>1048.4073528974302</v>
      </c>
      <c r="I432" s="530">
        <v>1257.2435570949501</v>
      </c>
      <c r="J432" s="530">
        <v>3382.4541634590555</v>
      </c>
      <c r="K432" s="530">
        <v>3685.2456240614715</v>
      </c>
      <c r="L432" s="530">
        <v>3998.1629788231917</v>
      </c>
      <c r="M432" s="530">
        <v>4330.1505990360019</v>
      </c>
      <c r="N432" s="530">
        <v>5132.712809195411</v>
      </c>
      <c r="O432" s="530">
        <v>5599.5674827819366</v>
      </c>
      <c r="P432" s="530">
        <v>3743.5962936696696</v>
      </c>
      <c r="Q432" s="530">
        <v>3399.0170846188157</v>
      </c>
      <c r="R432" s="530">
        <v>1702.2068764756837</v>
      </c>
      <c r="S432" s="530">
        <v>1418.1338527872642</v>
      </c>
      <c r="T432" s="530">
        <v>3224.7415562417405</v>
      </c>
      <c r="U432" s="530" t="s">
        <v>59</v>
      </c>
    </row>
    <row r="433" spans="1:21" ht="13.8" x14ac:dyDescent="0.3">
      <c r="A433" s="530" t="str">
        <f t="shared" si="12"/>
        <v>North Wales.2019.Employment.Shopping</v>
      </c>
      <c r="B433" s="530" t="s">
        <v>220</v>
      </c>
      <c r="C433" s="530" t="str">
        <f t="shared" si="13"/>
        <v>2019.Employment.Shopping</v>
      </c>
      <c r="D433" s="530" t="s">
        <v>245</v>
      </c>
      <c r="E433" s="530" t="s">
        <v>20</v>
      </c>
      <c r="F433" s="530" t="s">
        <v>51</v>
      </c>
      <c r="G433" s="530" t="s">
        <v>51</v>
      </c>
      <c r="H433" s="530">
        <v>3736.9159283292347</v>
      </c>
      <c r="I433" s="530">
        <v>4603.2031370752211</v>
      </c>
      <c r="J433" s="530">
        <v>8982.5769175801852</v>
      </c>
      <c r="K433" s="530">
        <v>12262.112751228275</v>
      </c>
      <c r="L433" s="530">
        <v>13189.110285347811</v>
      </c>
      <c r="M433" s="530">
        <v>13481.454759242421</v>
      </c>
      <c r="N433" s="530">
        <v>16887.923316803382</v>
      </c>
      <c r="O433" s="530">
        <v>19364.257866424454</v>
      </c>
      <c r="P433" s="530">
        <v>12008.193387032232</v>
      </c>
      <c r="Q433" s="530">
        <v>10194.96879272763</v>
      </c>
      <c r="R433" s="530">
        <v>5002.9523902416713</v>
      </c>
      <c r="S433" s="530">
        <v>4182.9579222003777</v>
      </c>
      <c r="T433" s="530">
        <v>10324.718954519407</v>
      </c>
      <c r="U433" s="530" t="s">
        <v>59</v>
      </c>
    </row>
    <row r="434" spans="1:21" ht="13.8" x14ac:dyDescent="0.3">
      <c r="A434" s="530" t="str">
        <f t="shared" si="12"/>
        <v>North Wales.2019.Employment.Transport</v>
      </c>
      <c r="B434" s="530" t="s">
        <v>220</v>
      </c>
      <c r="C434" s="530" t="str">
        <f t="shared" si="13"/>
        <v>2019.Employment.Transport</v>
      </c>
      <c r="D434" s="530" t="s">
        <v>245</v>
      </c>
      <c r="E434" s="530" t="s">
        <v>20</v>
      </c>
      <c r="F434" s="530" t="s">
        <v>52</v>
      </c>
      <c r="G434" s="530" t="s">
        <v>52</v>
      </c>
      <c r="H434" s="530">
        <v>563.64161478251026</v>
      </c>
      <c r="I434" s="530">
        <v>678.8965380022928</v>
      </c>
      <c r="J434" s="530">
        <v>1619.9346358483263</v>
      </c>
      <c r="K434" s="530">
        <v>2006.859871178601</v>
      </c>
      <c r="L434" s="530">
        <v>2168.1466343505526</v>
      </c>
      <c r="M434" s="530">
        <v>2284.9591650600328</v>
      </c>
      <c r="N434" s="530">
        <v>2786.2744104771109</v>
      </c>
      <c r="O434" s="530">
        <v>3066.2715041005831</v>
      </c>
      <c r="P434" s="530">
        <v>1998.1984865371137</v>
      </c>
      <c r="Q434" s="530">
        <v>1749.443515947718</v>
      </c>
      <c r="R434" s="530">
        <v>848.70931466117872</v>
      </c>
      <c r="S434" s="530">
        <v>696.4622405043682</v>
      </c>
      <c r="T434" s="530">
        <v>1705.6498276208656</v>
      </c>
      <c r="U434" s="530" t="s">
        <v>59</v>
      </c>
    </row>
    <row r="435" spans="1:21" ht="13.8" x14ac:dyDescent="0.3">
      <c r="A435" s="530" t="str">
        <f t="shared" si="12"/>
        <v>North Wales.2019.Visitor Days.Serviced Accommodation</v>
      </c>
      <c r="B435" s="530" t="s">
        <v>220</v>
      </c>
      <c r="C435" s="530" t="str">
        <f t="shared" si="13"/>
        <v>2019.Visitor Days.Serviced Accommodation</v>
      </c>
      <c r="D435" s="530" t="s">
        <v>245</v>
      </c>
      <c r="E435" s="530" t="s">
        <v>171</v>
      </c>
      <c r="F435" s="530" t="s">
        <v>43</v>
      </c>
      <c r="G435" s="530" t="s">
        <v>43</v>
      </c>
      <c r="H435" s="530">
        <v>267.48343235292748</v>
      </c>
      <c r="I435" s="530">
        <v>268.78567805793938</v>
      </c>
      <c r="J435" s="530">
        <v>314.76186431761232</v>
      </c>
      <c r="K435" s="530">
        <v>358.83465527338637</v>
      </c>
      <c r="L435" s="530">
        <v>428.54442561521051</v>
      </c>
      <c r="M435" s="530">
        <v>446.57554436034013</v>
      </c>
      <c r="N435" s="530">
        <v>479.60035132357734</v>
      </c>
      <c r="O435" s="530">
        <v>568.39306023937638</v>
      </c>
      <c r="P435" s="530">
        <v>457.27545861905844</v>
      </c>
      <c r="Q435" s="530">
        <v>324.88541654933056</v>
      </c>
      <c r="R435" s="530">
        <v>300.02269095119743</v>
      </c>
      <c r="S435" s="530">
        <v>239.83137286327872</v>
      </c>
      <c r="T435" s="530">
        <v>4454.9939505232351</v>
      </c>
      <c r="U435" s="530" t="s">
        <v>61</v>
      </c>
    </row>
    <row r="436" spans="1:21" ht="13.8" x14ac:dyDescent="0.3">
      <c r="A436" s="530" t="str">
        <f t="shared" si="12"/>
        <v>North Wales.2019.Visitor Days.Non-Serviced Accommodation</v>
      </c>
      <c r="B436" s="530" t="s">
        <v>220</v>
      </c>
      <c r="C436" s="530" t="str">
        <f t="shared" si="13"/>
        <v>2019.Visitor Days.Non-Serviced Accommodation</v>
      </c>
      <c r="D436" s="530" t="s">
        <v>245</v>
      </c>
      <c r="E436" s="530" t="s">
        <v>171</v>
      </c>
      <c r="F436" s="530" t="s">
        <v>48</v>
      </c>
      <c r="G436" s="530" t="s">
        <v>48</v>
      </c>
      <c r="H436" s="530">
        <v>864.88549290953824</v>
      </c>
      <c r="I436" s="530">
        <v>1027.3475448463369</v>
      </c>
      <c r="J436" s="530">
        <v>3547.1351466162964</v>
      </c>
      <c r="K436" s="530">
        <v>4028.9299484683393</v>
      </c>
      <c r="L436" s="530">
        <v>4592.8166816475532</v>
      </c>
      <c r="M436" s="530">
        <v>4849.5832543282186</v>
      </c>
      <c r="N436" s="530">
        <v>5927.8017230290825</v>
      </c>
      <c r="O436" s="530">
        <v>6096.287734198143</v>
      </c>
      <c r="P436" s="530">
        <v>4384.1565850233856</v>
      </c>
      <c r="Q436" s="530">
        <v>4007.6193066445558</v>
      </c>
      <c r="R436" s="530">
        <v>1702.3590218473846</v>
      </c>
      <c r="S436" s="530">
        <v>1282.3346954056847</v>
      </c>
      <c r="T436" s="530">
        <v>42311.257134964522</v>
      </c>
      <c r="U436" s="530" t="s">
        <v>61</v>
      </c>
    </row>
    <row r="437" spans="1:21" ht="13.8" x14ac:dyDescent="0.3">
      <c r="A437" s="530" t="str">
        <f t="shared" si="12"/>
        <v>North Wales.2019.Visitor Days.SFR</v>
      </c>
      <c r="B437" s="530" t="s">
        <v>220</v>
      </c>
      <c r="C437" s="530" t="str">
        <f t="shared" si="13"/>
        <v>2019.Visitor Days.SFR</v>
      </c>
      <c r="D437" s="530" t="s">
        <v>245</v>
      </c>
      <c r="E437" s="530" t="s">
        <v>171</v>
      </c>
      <c r="F437" s="530" t="s">
        <v>18</v>
      </c>
      <c r="G437" s="530" t="s">
        <v>18</v>
      </c>
      <c r="H437" s="530">
        <v>357.1205113636363</v>
      </c>
      <c r="I437" s="530">
        <v>119.9924918181818</v>
      </c>
      <c r="J437" s="530">
        <v>136.49939545454544</v>
      </c>
      <c r="K437" s="530">
        <v>325.6939063636363</v>
      </c>
      <c r="L437" s="530">
        <v>209.51069999999999</v>
      </c>
      <c r="M437" s="530">
        <v>161.38990149545452</v>
      </c>
      <c r="N437" s="530">
        <v>261.888375</v>
      </c>
      <c r="O437" s="530">
        <v>277.2334465727273</v>
      </c>
      <c r="P437" s="530">
        <v>142.79773151318182</v>
      </c>
      <c r="Q437" s="530">
        <v>142.65774027272727</v>
      </c>
      <c r="R437" s="530">
        <v>111.15971117045453</v>
      </c>
      <c r="S437" s="530">
        <v>321.88462090909093</v>
      </c>
      <c r="T437" s="530">
        <v>2567.8285319336364</v>
      </c>
      <c r="U437" s="530" t="s">
        <v>61</v>
      </c>
    </row>
    <row r="438" spans="1:21" ht="13.8" x14ac:dyDescent="0.3">
      <c r="A438" s="530" t="str">
        <f t="shared" si="12"/>
        <v>North Wales.2019.Visitor Days.Day Visitor</v>
      </c>
      <c r="B438" s="530" t="s">
        <v>220</v>
      </c>
      <c r="C438" s="530" t="str">
        <f t="shared" si="13"/>
        <v>2019.Visitor Days.Day Visitor</v>
      </c>
      <c r="D438" s="530" t="s">
        <v>245</v>
      </c>
      <c r="E438" s="530" t="s">
        <v>171</v>
      </c>
      <c r="F438" s="530" t="s">
        <v>71</v>
      </c>
      <c r="G438" s="530" t="s">
        <v>71</v>
      </c>
      <c r="H438" s="530">
        <v>532.83159405658239</v>
      </c>
      <c r="I438" s="530">
        <v>884.13794070884921</v>
      </c>
      <c r="J438" s="530">
        <v>1288.5104683112638</v>
      </c>
      <c r="K438" s="530">
        <v>2066.7743570798611</v>
      </c>
      <c r="L438" s="530">
        <v>2174.8842287084767</v>
      </c>
      <c r="M438" s="530">
        <v>2168.9537223701823</v>
      </c>
      <c r="N438" s="530">
        <v>2891.0521448958552</v>
      </c>
      <c r="O438" s="530">
        <v>3653.5099756880354</v>
      </c>
      <c r="P438" s="530">
        <v>1896.7335211701452</v>
      </c>
      <c r="Q438" s="530">
        <v>1576.8061717518638</v>
      </c>
      <c r="R438" s="530">
        <v>843.23177116584498</v>
      </c>
      <c r="S438" s="530">
        <v>660.74291895279191</v>
      </c>
      <c r="T438" s="530">
        <v>20638.16881485975</v>
      </c>
      <c r="U438" s="530" t="s">
        <v>61</v>
      </c>
    </row>
    <row r="439" spans="1:21" ht="13.8" x14ac:dyDescent="0.3">
      <c r="A439" s="530" t="str">
        <f t="shared" si="12"/>
        <v>North Wales.2019.Visitor Days.Total</v>
      </c>
      <c r="B439" s="530" t="s">
        <v>220</v>
      </c>
      <c r="C439" s="530" t="str">
        <f t="shared" si="13"/>
        <v>2019.Visitor Days.Total</v>
      </c>
      <c r="D439" s="530" t="s">
        <v>245</v>
      </c>
      <c r="E439" s="530" t="s">
        <v>171</v>
      </c>
      <c r="F439" s="530" t="s">
        <v>54</v>
      </c>
      <c r="G439" s="530" t="s">
        <v>54</v>
      </c>
      <c r="H439" s="530">
        <v>2022.3210306826845</v>
      </c>
      <c r="I439" s="530">
        <v>2300.2636554313071</v>
      </c>
      <c r="J439" s="530">
        <v>5286.9068746997182</v>
      </c>
      <c r="K439" s="530">
        <v>6780.2328671852229</v>
      </c>
      <c r="L439" s="530">
        <v>7405.7560359712406</v>
      </c>
      <c r="M439" s="530">
        <v>7626.5024225541965</v>
      </c>
      <c r="N439" s="530">
        <v>9560.3425942485155</v>
      </c>
      <c r="O439" s="530">
        <v>10595.424216698282</v>
      </c>
      <c r="P439" s="530">
        <v>6880.9632963257718</v>
      </c>
      <c r="Q439" s="530">
        <v>6051.9686352184772</v>
      </c>
      <c r="R439" s="530">
        <v>2956.7731951348815</v>
      </c>
      <c r="S439" s="530">
        <v>2504.7936081308462</v>
      </c>
      <c r="T439" s="530">
        <v>69972.248432281136</v>
      </c>
      <c r="U439" s="530" t="s">
        <v>61</v>
      </c>
    </row>
    <row r="440" spans="1:21" ht="13.8" x14ac:dyDescent="0.3">
      <c r="A440" s="530" t="str">
        <f t="shared" si="12"/>
        <v>North Wales.2019.Visitor Numbers.Serviced Accommodation</v>
      </c>
      <c r="B440" s="530" t="s">
        <v>220</v>
      </c>
      <c r="C440" s="530" t="str">
        <f t="shared" si="13"/>
        <v>2019.Visitor Numbers.Serviced Accommodation</v>
      </c>
      <c r="D440" s="530" t="s">
        <v>245</v>
      </c>
      <c r="E440" s="530" t="s">
        <v>172</v>
      </c>
      <c r="F440" s="530" t="s">
        <v>43</v>
      </c>
      <c r="G440" s="530" t="s">
        <v>43</v>
      </c>
      <c r="H440" s="530">
        <v>174.28149517329726</v>
      </c>
      <c r="I440" s="530">
        <v>178.75254065272426</v>
      </c>
      <c r="J440" s="530">
        <v>153.01710582001965</v>
      </c>
      <c r="K440" s="530">
        <v>197.4381648642709</v>
      </c>
      <c r="L440" s="530">
        <v>227.57932774467821</v>
      </c>
      <c r="M440" s="530">
        <v>251.61045341573822</v>
      </c>
      <c r="N440" s="530">
        <v>274.50925658648771</v>
      </c>
      <c r="O440" s="530">
        <v>324.71950207805691</v>
      </c>
      <c r="P440" s="530">
        <v>232.83186948863585</v>
      </c>
      <c r="Q440" s="530">
        <v>187.76362861571795</v>
      </c>
      <c r="R440" s="530">
        <v>174.5268926401352</v>
      </c>
      <c r="S440" s="530">
        <v>146.36947903346129</v>
      </c>
      <c r="T440" s="530">
        <v>2523.3997161132229</v>
      </c>
      <c r="U440" s="530" t="s">
        <v>61</v>
      </c>
    </row>
    <row r="441" spans="1:21" ht="13.8" x14ac:dyDescent="0.3">
      <c r="A441" s="530" t="str">
        <f t="shared" si="12"/>
        <v>North Wales.2019.Visitor Numbers.Non-Serviced Accommodation</v>
      </c>
      <c r="B441" s="530" t="s">
        <v>220</v>
      </c>
      <c r="C441" s="530" t="str">
        <f t="shared" si="13"/>
        <v>2019.Visitor Numbers.Non-Serviced Accommodation</v>
      </c>
      <c r="D441" s="530" t="s">
        <v>245</v>
      </c>
      <c r="E441" s="530" t="s">
        <v>172</v>
      </c>
      <c r="F441" s="530" t="s">
        <v>48</v>
      </c>
      <c r="G441" s="530" t="s">
        <v>48</v>
      </c>
      <c r="H441" s="530">
        <v>254.08540840486535</v>
      </c>
      <c r="I441" s="530">
        <v>257.30443125428849</v>
      </c>
      <c r="J441" s="530">
        <v>745.5028242128825</v>
      </c>
      <c r="K441" s="530">
        <v>647.49959515066644</v>
      </c>
      <c r="L441" s="530">
        <v>685.70311446949211</v>
      </c>
      <c r="M441" s="530">
        <v>714.97537601864303</v>
      </c>
      <c r="N441" s="530">
        <v>855.78128332094968</v>
      </c>
      <c r="O441" s="530">
        <v>824.58561443824055</v>
      </c>
      <c r="P441" s="530">
        <v>671.51264996920099</v>
      </c>
      <c r="Q441" s="530">
        <v>603.10064982234735</v>
      </c>
      <c r="R441" s="530">
        <v>396.8405200454846</v>
      </c>
      <c r="S441" s="530">
        <v>250.20805836378082</v>
      </c>
      <c r="T441" s="530">
        <v>6907.0995254708414</v>
      </c>
      <c r="U441" s="530" t="s">
        <v>61</v>
      </c>
    </row>
    <row r="442" spans="1:21" ht="13.8" x14ac:dyDescent="0.3">
      <c r="A442" s="530" t="str">
        <f t="shared" si="12"/>
        <v>North Wales.2019.Visitor Numbers.SFR</v>
      </c>
      <c r="B442" s="530" t="s">
        <v>220</v>
      </c>
      <c r="C442" s="530" t="str">
        <f t="shared" si="13"/>
        <v>2019.Visitor Numbers.SFR</v>
      </c>
      <c r="D442" s="530" t="s">
        <v>245</v>
      </c>
      <c r="E442" s="530" t="s">
        <v>172</v>
      </c>
      <c r="F442" s="530" t="s">
        <v>18</v>
      </c>
      <c r="G442" s="530" t="s">
        <v>18</v>
      </c>
      <c r="H442" s="530">
        <v>142.84820454545454</v>
      </c>
      <c r="I442" s="530">
        <v>57.1392818181818</v>
      </c>
      <c r="J442" s="530">
        <v>63.488090909090907</v>
      </c>
      <c r="K442" s="530">
        <v>120.6273727272727</v>
      </c>
      <c r="L442" s="530">
        <v>95.232136363636357</v>
      </c>
      <c r="M442" s="530">
        <v>76.852334045454541</v>
      </c>
      <c r="N442" s="530">
        <v>104.75534999999999</v>
      </c>
      <c r="O442" s="530">
        <v>106.62824868181818</v>
      </c>
      <c r="P442" s="530">
        <v>65.805406227272726</v>
      </c>
      <c r="Q442" s="530">
        <v>66.66249545454545</v>
      </c>
      <c r="R442" s="530">
        <v>54.758478409090898</v>
      </c>
      <c r="S442" s="530">
        <v>123.80177727272728</v>
      </c>
      <c r="T442" s="530">
        <v>1078.5991764545454</v>
      </c>
      <c r="U442" s="530" t="s">
        <v>61</v>
      </c>
    </row>
    <row r="443" spans="1:21" ht="13.8" x14ac:dyDescent="0.3">
      <c r="A443" s="530" t="str">
        <f t="shared" si="12"/>
        <v>North Wales.2019.Visitor Numbers.Day Visitor</v>
      </c>
      <c r="B443" s="530" t="s">
        <v>220</v>
      </c>
      <c r="C443" s="530" t="str">
        <f t="shared" si="13"/>
        <v>2019.Visitor Numbers.Day Visitor</v>
      </c>
      <c r="D443" s="530" t="s">
        <v>245</v>
      </c>
      <c r="E443" s="530" t="s">
        <v>172</v>
      </c>
      <c r="F443" s="530" t="s">
        <v>71</v>
      </c>
      <c r="G443" s="530" t="s">
        <v>71</v>
      </c>
      <c r="H443" s="530">
        <v>532.83159405658239</v>
      </c>
      <c r="I443" s="530">
        <v>884.13794070884921</v>
      </c>
      <c r="J443" s="530">
        <v>1288.5104683112638</v>
      </c>
      <c r="K443" s="530">
        <v>2066.7743570798611</v>
      </c>
      <c r="L443" s="530">
        <v>2174.8842287084767</v>
      </c>
      <c r="M443" s="530">
        <v>2168.9537223701823</v>
      </c>
      <c r="N443" s="530">
        <v>2891.0521448958552</v>
      </c>
      <c r="O443" s="530">
        <v>3653.5099756880354</v>
      </c>
      <c r="P443" s="530">
        <v>1896.7335211701452</v>
      </c>
      <c r="Q443" s="530">
        <v>1576.8061717518638</v>
      </c>
      <c r="R443" s="530">
        <v>843.23177116584498</v>
      </c>
      <c r="S443" s="530">
        <v>660.74291895279191</v>
      </c>
      <c r="T443" s="530">
        <v>20638.16881485975</v>
      </c>
      <c r="U443" s="530" t="s">
        <v>61</v>
      </c>
    </row>
    <row r="444" spans="1:21" ht="13.8" x14ac:dyDescent="0.3">
      <c r="A444" s="530" t="str">
        <f t="shared" si="12"/>
        <v>North Wales.2019.Visitor Numbers.Total</v>
      </c>
      <c r="B444" s="530" t="s">
        <v>220</v>
      </c>
      <c r="C444" s="530" t="str">
        <f t="shared" si="13"/>
        <v>2019.Visitor Numbers.Total</v>
      </c>
      <c r="D444" s="530" t="s">
        <v>245</v>
      </c>
      <c r="E444" s="530" t="s">
        <v>172</v>
      </c>
      <c r="F444" s="530" t="s">
        <v>54</v>
      </c>
      <c r="G444" s="530" t="s">
        <v>54</v>
      </c>
      <c r="H444" s="530">
        <v>1104.0467021801996</v>
      </c>
      <c r="I444" s="530">
        <v>1377.3341944340439</v>
      </c>
      <c r="J444" s="530">
        <v>2250.518489253257</v>
      </c>
      <c r="K444" s="530">
        <v>3032.3394898220713</v>
      </c>
      <c r="L444" s="530">
        <v>3183.398807286283</v>
      </c>
      <c r="M444" s="530">
        <v>3212.3918858500183</v>
      </c>
      <c r="N444" s="530">
        <v>4126.0980348032926</v>
      </c>
      <c r="O444" s="530">
        <v>4909.4433408861514</v>
      </c>
      <c r="P444" s="530">
        <v>2866.883446855255</v>
      </c>
      <c r="Q444" s="530">
        <v>2434.3329456444744</v>
      </c>
      <c r="R444" s="530">
        <v>1469.3576622605556</v>
      </c>
      <c r="S444" s="530">
        <v>1181.1222336227613</v>
      </c>
      <c r="T444" s="530">
        <v>31147.267232898364</v>
      </c>
      <c r="U444" s="530" t="s">
        <v>61</v>
      </c>
    </row>
    <row r="445" spans="1:21" ht="13.8" x14ac:dyDescent="0.3">
      <c r="A445" s="530" t="str">
        <f t="shared" si="12"/>
        <v>North Wales.2019.Vehicle Days.Serviced Accommodation</v>
      </c>
      <c r="B445" s="530" t="s">
        <v>220</v>
      </c>
      <c r="C445" s="530" t="str">
        <f t="shared" si="13"/>
        <v>2019.Vehicle Days.Serviced Accommodation</v>
      </c>
      <c r="D445" s="530" t="s">
        <v>245</v>
      </c>
      <c r="E445" s="530" t="s">
        <v>21</v>
      </c>
      <c r="F445" s="530" t="s">
        <v>43</v>
      </c>
      <c r="G445" s="530" t="s">
        <v>43</v>
      </c>
      <c r="H445" s="530">
        <v>69.530275617906895</v>
      </c>
      <c r="I445" s="530">
        <v>92.723673334545637</v>
      </c>
      <c r="J445" s="530">
        <v>114.3094959973981</v>
      </c>
      <c r="K445" s="530">
        <v>94.102784697525351</v>
      </c>
      <c r="L445" s="530">
        <v>120.34469164901222</v>
      </c>
      <c r="M445" s="530">
        <v>124.91624139139915</v>
      </c>
      <c r="N445" s="530">
        <v>125.692168689997</v>
      </c>
      <c r="O445" s="530">
        <v>149.3085746109079</v>
      </c>
      <c r="P445" s="530">
        <v>120.08905930707239</v>
      </c>
      <c r="Q445" s="530">
        <v>100.18548699124358</v>
      </c>
      <c r="R445" s="530">
        <v>93.579128320737937</v>
      </c>
      <c r="S445" s="530">
        <v>63.245524333135052</v>
      </c>
      <c r="T445" s="530">
        <v>1268.0271049408814</v>
      </c>
      <c r="U445" s="530" t="s">
        <v>61</v>
      </c>
    </row>
    <row r="446" spans="1:21" ht="13.8" x14ac:dyDescent="0.3">
      <c r="A446" s="530" t="str">
        <f t="shared" si="12"/>
        <v>North Wales.2019.Vehicle Days.Non-Serviced Accommodation</v>
      </c>
      <c r="B446" s="530" t="s">
        <v>220</v>
      </c>
      <c r="C446" s="530" t="str">
        <f t="shared" si="13"/>
        <v>2019.Vehicle Days.Non-Serviced Accommodation</v>
      </c>
      <c r="D446" s="530" t="s">
        <v>245</v>
      </c>
      <c r="E446" s="530" t="s">
        <v>21</v>
      </c>
      <c r="F446" s="530" t="s">
        <v>48</v>
      </c>
      <c r="G446" s="530" t="s">
        <v>48</v>
      </c>
      <c r="H446" s="530">
        <v>227.42371970637441</v>
      </c>
      <c r="I446" s="530">
        <v>315.52571519302245</v>
      </c>
      <c r="J446" s="530">
        <v>961.64161696031658</v>
      </c>
      <c r="K446" s="530">
        <v>1036.2219216308411</v>
      </c>
      <c r="L446" s="530">
        <v>1212.1076066770006</v>
      </c>
      <c r="M446" s="530">
        <v>1297.5265131969027</v>
      </c>
      <c r="N446" s="530">
        <v>1503.1913795105991</v>
      </c>
      <c r="O446" s="530">
        <v>1506.4863956301674</v>
      </c>
      <c r="P446" s="530">
        <v>1154.3972627901085</v>
      </c>
      <c r="Q446" s="530">
        <v>1030.3820146916389</v>
      </c>
      <c r="R446" s="530">
        <v>450.12687140183243</v>
      </c>
      <c r="S446" s="530">
        <v>300.02203640181375</v>
      </c>
      <c r="T446" s="530">
        <v>10995.053053790616</v>
      </c>
      <c r="U446" s="530" t="s">
        <v>61</v>
      </c>
    </row>
    <row r="447" spans="1:21" ht="13.8" x14ac:dyDescent="0.3">
      <c r="A447" s="530" t="str">
        <f t="shared" si="12"/>
        <v>North Wales.2019.Vehicle Days.SFR</v>
      </c>
      <c r="B447" s="530" t="s">
        <v>220</v>
      </c>
      <c r="C447" s="530" t="str">
        <f t="shared" si="13"/>
        <v>2019.Vehicle Days.SFR</v>
      </c>
      <c r="D447" s="530" t="s">
        <v>245</v>
      </c>
      <c r="E447" s="530" t="s">
        <v>21</v>
      </c>
      <c r="F447" s="530" t="s">
        <v>18</v>
      </c>
      <c r="G447" s="530" t="s">
        <v>18</v>
      </c>
      <c r="H447" s="530">
        <v>109.91853238636364</v>
      </c>
      <c r="I447" s="530">
        <v>36.93262688181818</v>
      </c>
      <c r="J447" s="530">
        <v>42.013305712121209</v>
      </c>
      <c r="K447" s="530">
        <v>100.24570153636361</v>
      </c>
      <c r="L447" s="530">
        <v>64.485539000000003</v>
      </c>
      <c r="M447" s="530">
        <v>49.674383156045451</v>
      </c>
      <c r="N447" s="530">
        <v>80.606923749999993</v>
      </c>
      <c r="O447" s="530">
        <v>85.330000954939393</v>
      </c>
      <c r="P447" s="530">
        <v>43.95187780196818</v>
      </c>
      <c r="Q447" s="530">
        <v>43.908789737272727</v>
      </c>
      <c r="R447" s="530">
        <v>34.213975180795444</v>
      </c>
      <c r="S447" s="530">
        <v>99.073237190909111</v>
      </c>
      <c r="T447" s="530">
        <v>790.35489328859694</v>
      </c>
      <c r="U447" s="530" t="s">
        <v>61</v>
      </c>
    </row>
    <row r="448" spans="1:21" ht="13.8" x14ac:dyDescent="0.3">
      <c r="A448" s="530" t="str">
        <f t="shared" si="12"/>
        <v>North Wales.2019.Vehicle Days.Day Visitor</v>
      </c>
      <c r="B448" s="530" t="s">
        <v>220</v>
      </c>
      <c r="C448" s="530" t="str">
        <f t="shared" si="13"/>
        <v>2019.Vehicle Days.Day Visitor</v>
      </c>
      <c r="D448" s="530" t="s">
        <v>245</v>
      </c>
      <c r="E448" s="530" t="s">
        <v>21</v>
      </c>
      <c r="F448" s="530" t="s">
        <v>71</v>
      </c>
      <c r="G448" s="530" t="s">
        <v>71</v>
      </c>
      <c r="H448" s="530">
        <v>117.22295069244814</v>
      </c>
      <c r="I448" s="530">
        <v>222.29753937822494</v>
      </c>
      <c r="J448" s="530">
        <v>323.96834631826061</v>
      </c>
      <c r="K448" s="530">
        <v>454.69035855756954</v>
      </c>
      <c r="L448" s="530">
        <v>478.47453031586497</v>
      </c>
      <c r="M448" s="530">
        <v>545.33693591021722</v>
      </c>
      <c r="N448" s="530">
        <v>636.03147187708828</v>
      </c>
      <c r="O448" s="530">
        <v>803.77219465136784</v>
      </c>
      <c r="P448" s="530">
        <v>417.28137465743191</v>
      </c>
      <c r="Q448" s="530">
        <v>396.45412318332575</v>
      </c>
      <c r="R448" s="530">
        <v>212.01255960741247</v>
      </c>
      <c r="S448" s="530">
        <v>145.36344216961422</v>
      </c>
      <c r="T448" s="530">
        <v>4752.9058273188257</v>
      </c>
      <c r="U448" s="530" t="s">
        <v>61</v>
      </c>
    </row>
    <row r="449" spans="1:21" ht="13.8" x14ac:dyDescent="0.3">
      <c r="A449" s="530" t="str">
        <f t="shared" si="12"/>
        <v>North Wales.2019.Vehicle Days.Total</v>
      </c>
      <c r="B449" s="530" t="s">
        <v>220</v>
      </c>
      <c r="C449" s="530" t="str">
        <f t="shared" si="13"/>
        <v>2019.Vehicle Days.Total</v>
      </c>
      <c r="D449" s="530" t="s">
        <v>245</v>
      </c>
      <c r="E449" s="530" t="s">
        <v>21</v>
      </c>
      <c r="F449" s="530" t="s">
        <v>54</v>
      </c>
      <c r="G449" s="530" t="s">
        <v>54</v>
      </c>
      <c r="H449" s="530">
        <v>524.09547840309301</v>
      </c>
      <c r="I449" s="530">
        <v>667.47955478761128</v>
      </c>
      <c r="J449" s="530">
        <v>1441.9327649880966</v>
      </c>
      <c r="K449" s="530">
        <v>1685.2607664222996</v>
      </c>
      <c r="L449" s="530">
        <v>1875.4123676418778</v>
      </c>
      <c r="M449" s="530">
        <v>2017.4540736545646</v>
      </c>
      <c r="N449" s="530">
        <v>2345.5219438276845</v>
      </c>
      <c r="O449" s="530">
        <v>2544.8971658473824</v>
      </c>
      <c r="P449" s="530">
        <v>1735.7195745565809</v>
      </c>
      <c r="Q449" s="530">
        <v>1570.9304146034808</v>
      </c>
      <c r="R449" s="530">
        <v>789.93253451077817</v>
      </c>
      <c r="S449" s="530">
        <v>607.70424009547219</v>
      </c>
      <c r="T449" s="530">
        <v>17806.340879338921</v>
      </c>
      <c r="U449" s="530" t="s">
        <v>61</v>
      </c>
    </row>
    <row r="450" spans="1:21" ht="13.8" x14ac:dyDescent="0.3">
      <c r="A450" s="530" t="str">
        <f t="shared" si="12"/>
        <v>North Wales.2019.Vehicle Numbers.Serviced Accommodation</v>
      </c>
      <c r="B450" s="530" t="s">
        <v>220</v>
      </c>
      <c r="C450" s="530" t="str">
        <f t="shared" si="13"/>
        <v>2019.Vehicle Numbers.Serviced Accommodation</v>
      </c>
      <c r="D450" s="530" t="s">
        <v>245</v>
      </c>
      <c r="E450" s="530" t="s">
        <v>22</v>
      </c>
      <c r="F450" s="530" t="s">
        <v>43</v>
      </c>
      <c r="G450" s="530" t="s">
        <v>43</v>
      </c>
      <c r="H450" s="530">
        <v>45.200971601715906</v>
      </c>
      <c r="I450" s="530">
        <v>61.705175594269178</v>
      </c>
      <c r="J450" s="530">
        <v>55.554619153834494</v>
      </c>
      <c r="K450" s="530">
        <v>51.772145684760574</v>
      </c>
      <c r="L450" s="530">
        <v>63.838352749751841</v>
      </c>
      <c r="M450" s="530">
        <v>70.32793820922582</v>
      </c>
      <c r="N450" s="530">
        <v>71.981688119347737</v>
      </c>
      <c r="O450" s="530">
        <v>85.429607429667286</v>
      </c>
      <c r="P450" s="530">
        <v>61.171888558151345</v>
      </c>
      <c r="Q450" s="530">
        <v>58.029776651182218</v>
      </c>
      <c r="R450" s="530">
        <v>53.701702710442348</v>
      </c>
      <c r="S450" s="530">
        <v>38.644767309682628</v>
      </c>
      <c r="T450" s="530">
        <v>717.35863377203134</v>
      </c>
      <c r="U450" s="530" t="s">
        <v>61</v>
      </c>
    </row>
    <row r="451" spans="1:21" ht="13.8" x14ac:dyDescent="0.3">
      <c r="A451" s="530" t="str">
        <f t="shared" si="12"/>
        <v>North Wales.2019.Vehicle Numbers.Non-Serviced Accommodation</v>
      </c>
      <c r="B451" s="530" t="s">
        <v>220</v>
      </c>
      <c r="C451" s="530" t="str">
        <f t="shared" si="13"/>
        <v>2019.Vehicle Numbers.Non-Serviced Accommodation</v>
      </c>
      <c r="D451" s="530" t="s">
        <v>245</v>
      </c>
      <c r="E451" s="530" t="s">
        <v>22</v>
      </c>
      <c r="F451" s="530" t="s">
        <v>48</v>
      </c>
      <c r="G451" s="530" t="s">
        <v>48</v>
      </c>
      <c r="H451" s="530">
        <v>66.810333670497812</v>
      </c>
      <c r="I451" s="530">
        <v>79.042033572051324</v>
      </c>
      <c r="J451" s="530">
        <v>202.20519812964756</v>
      </c>
      <c r="K451" s="530">
        <v>166.25322780402547</v>
      </c>
      <c r="L451" s="530">
        <v>181.42933780112662</v>
      </c>
      <c r="M451" s="530">
        <v>191.73039555825164</v>
      </c>
      <c r="N451" s="530">
        <v>216.62472023291446</v>
      </c>
      <c r="O451" s="530">
        <v>203.11116929242391</v>
      </c>
      <c r="P451" s="530">
        <v>177.65924300418118</v>
      </c>
      <c r="Q451" s="530">
        <v>154.98500995473856</v>
      </c>
      <c r="R451" s="530">
        <v>105.17854039383913</v>
      </c>
      <c r="S451" s="530">
        <v>58.096958082767124</v>
      </c>
      <c r="T451" s="530">
        <v>1803.1261674964649</v>
      </c>
      <c r="U451" s="530" t="s">
        <v>61</v>
      </c>
    </row>
    <row r="452" spans="1:21" ht="13.8" x14ac:dyDescent="0.3">
      <c r="A452" s="530" t="str">
        <f t="shared" si="12"/>
        <v>North Wales.2019.Vehicle Numbers.SFR</v>
      </c>
      <c r="B452" s="530" t="s">
        <v>220</v>
      </c>
      <c r="C452" s="530" t="str">
        <f t="shared" si="13"/>
        <v>2019.Vehicle Numbers.SFR</v>
      </c>
      <c r="D452" s="530" t="s">
        <v>245</v>
      </c>
      <c r="E452" s="530" t="s">
        <v>22</v>
      </c>
      <c r="F452" s="530" t="s">
        <v>18</v>
      </c>
      <c r="G452" s="530" t="s">
        <v>18</v>
      </c>
      <c r="H452" s="530">
        <v>43.967412954545452</v>
      </c>
      <c r="I452" s="530">
        <v>17.586965181818179</v>
      </c>
      <c r="J452" s="530">
        <v>19.541072424242422</v>
      </c>
      <c r="K452" s="530">
        <v>37.128037606060602</v>
      </c>
      <c r="L452" s="530">
        <v>29.311608636363637</v>
      </c>
      <c r="M452" s="530">
        <v>23.654468169545453</v>
      </c>
      <c r="N452" s="530">
        <v>32.242769499999994</v>
      </c>
      <c r="O452" s="530">
        <v>32.81923113651515</v>
      </c>
      <c r="P452" s="530">
        <v>20.254321567727274</v>
      </c>
      <c r="Q452" s="530">
        <v>20.518126045454544</v>
      </c>
      <c r="R452" s="530">
        <v>16.854174965909088</v>
      </c>
      <c r="S452" s="530">
        <v>38.105091227272723</v>
      </c>
      <c r="T452" s="530">
        <v>331.98327941545455</v>
      </c>
      <c r="U452" s="530" t="s">
        <v>61</v>
      </c>
    </row>
    <row r="453" spans="1:21" ht="13.8" x14ac:dyDescent="0.3">
      <c r="A453" s="530" t="str">
        <f t="shared" si="12"/>
        <v>North Wales.2019.Vehicle Numbers.Day Visitor</v>
      </c>
      <c r="B453" s="530" t="s">
        <v>220</v>
      </c>
      <c r="C453" s="530" t="str">
        <f t="shared" si="13"/>
        <v>2019.Vehicle Numbers.Day Visitor</v>
      </c>
      <c r="D453" s="530" t="s">
        <v>245</v>
      </c>
      <c r="E453" s="530" t="s">
        <v>22</v>
      </c>
      <c r="F453" s="530" t="s">
        <v>71</v>
      </c>
      <c r="G453" s="530" t="s">
        <v>71</v>
      </c>
      <c r="H453" s="530">
        <v>117.22295069244814</v>
      </c>
      <c r="I453" s="530">
        <v>222.29753937822494</v>
      </c>
      <c r="J453" s="530">
        <v>323.96834631826061</v>
      </c>
      <c r="K453" s="530">
        <v>454.69035855756954</v>
      </c>
      <c r="L453" s="530">
        <v>478.47453031586497</v>
      </c>
      <c r="M453" s="530">
        <v>545.33693591021722</v>
      </c>
      <c r="N453" s="530">
        <v>636.03147187708828</v>
      </c>
      <c r="O453" s="530">
        <v>803.77219465136784</v>
      </c>
      <c r="P453" s="530">
        <v>417.28137465743191</v>
      </c>
      <c r="Q453" s="530">
        <v>396.45412318332575</v>
      </c>
      <c r="R453" s="530">
        <v>212.01255960741247</v>
      </c>
      <c r="S453" s="530">
        <v>145.36344216961422</v>
      </c>
      <c r="T453" s="530">
        <v>4752.9058273188257</v>
      </c>
      <c r="U453" s="530" t="s">
        <v>61</v>
      </c>
    </row>
    <row r="454" spans="1:21" ht="13.8" x14ac:dyDescent="0.3">
      <c r="A454" s="530" t="str">
        <f t="shared" si="12"/>
        <v>North Wales.2019.Vehicle Numbers.Total</v>
      </c>
      <c r="B454" s="530" t="s">
        <v>220</v>
      </c>
      <c r="C454" s="530" t="str">
        <f t="shared" si="13"/>
        <v>2019.Vehicle Numbers.Total</v>
      </c>
      <c r="D454" s="530" t="s">
        <v>245</v>
      </c>
      <c r="E454" s="530" t="s">
        <v>22</v>
      </c>
      <c r="F454" s="530" t="s">
        <v>54</v>
      </c>
      <c r="G454" s="530" t="s">
        <v>54</v>
      </c>
      <c r="H454" s="530">
        <v>273.20166891920729</v>
      </c>
      <c r="I454" s="530">
        <v>380.63171372636361</v>
      </c>
      <c r="J454" s="530">
        <v>601.26923602598504</v>
      </c>
      <c r="K454" s="530">
        <v>709.8437696524162</v>
      </c>
      <c r="L454" s="530">
        <v>753.05382950310707</v>
      </c>
      <c r="M454" s="530">
        <v>831.04973784724007</v>
      </c>
      <c r="N454" s="530">
        <v>956.88064972935047</v>
      </c>
      <c r="O454" s="530">
        <v>1125.1322025099741</v>
      </c>
      <c r="P454" s="530">
        <v>676.36682778749173</v>
      </c>
      <c r="Q454" s="530">
        <v>629.98703583470115</v>
      </c>
      <c r="R454" s="530">
        <v>387.74697767760301</v>
      </c>
      <c r="S454" s="530">
        <v>280.21025878933665</v>
      </c>
      <c r="T454" s="530">
        <v>7605.3739080027772</v>
      </c>
      <c r="U454" s="530" t="s">
        <v>61</v>
      </c>
    </row>
    <row r="455" spans="1:21" ht="13.8" x14ac:dyDescent="0.3">
      <c r="A455" s="530" t="str">
        <f t="shared" si="12"/>
        <v>North Wales.2019.Accommodation.Serviced Accommodation</v>
      </c>
      <c r="B455" s="530" t="s">
        <v>220</v>
      </c>
      <c r="C455" s="530" t="str">
        <f t="shared" si="13"/>
        <v>2019.Accommodation.Serviced Accommodation</v>
      </c>
      <c r="D455" s="530" t="s">
        <v>245</v>
      </c>
      <c r="E455" s="530" t="s">
        <v>23</v>
      </c>
      <c r="F455" s="530" t="s">
        <v>43</v>
      </c>
      <c r="G455" s="530" t="s">
        <v>43</v>
      </c>
      <c r="H455" s="530">
        <v>22825</v>
      </c>
      <c r="I455" s="530">
        <v>23728</v>
      </c>
      <c r="J455" s="530">
        <v>24672</v>
      </c>
      <c r="K455" s="530">
        <v>25114</v>
      </c>
      <c r="L455" s="530">
        <v>25106</v>
      </c>
      <c r="M455" s="530">
        <v>25111</v>
      </c>
      <c r="N455" s="530">
        <v>25131</v>
      </c>
      <c r="O455" s="530">
        <v>25131</v>
      </c>
      <c r="P455" s="530">
        <v>25111</v>
      </c>
      <c r="Q455" s="530">
        <v>25003</v>
      </c>
      <c r="R455" s="530">
        <v>24430</v>
      </c>
      <c r="S455" s="530">
        <v>23780</v>
      </c>
      <c r="T455" s="530">
        <v>25131</v>
      </c>
      <c r="U455" s="530" t="s">
        <v>58</v>
      </c>
    </row>
    <row r="456" spans="1:21" ht="13.8" x14ac:dyDescent="0.3">
      <c r="A456" s="530" t="str">
        <f t="shared" si="12"/>
        <v>North Wales.2019.Accommodation.Non-Serviced Accommodation</v>
      </c>
      <c r="B456" s="530" t="s">
        <v>220</v>
      </c>
      <c r="C456" s="530" t="str">
        <f t="shared" si="13"/>
        <v>2019.Accommodation.Non-Serviced Accommodation</v>
      </c>
      <c r="D456" s="530" t="s">
        <v>245</v>
      </c>
      <c r="E456" s="530" t="s">
        <v>23</v>
      </c>
      <c r="F456" s="530" t="s">
        <v>48</v>
      </c>
      <c r="G456" s="530" t="s">
        <v>48</v>
      </c>
      <c r="H456" s="530">
        <v>76378.896443332778</v>
      </c>
      <c r="I456" s="530">
        <v>78325.902249622231</v>
      </c>
      <c r="J456" s="530">
        <v>208751.30598667479</v>
      </c>
      <c r="K456" s="530">
        <v>234705.99507353507</v>
      </c>
      <c r="L456" s="530">
        <v>233888.44255094143</v>
      </c>
      <c r="M456" s="530">
        <v>237446.56300711315</v>
      </c>
      <c r="N456" s="530">
        <v>236772.85254350025</v>
      </c>
      <c r="O456" s="530">
        <v>236187.85704534521</v>
      </c>
      <c r="P456" s="530">
        <v>237209.95945166654</v>
      </c>
      <c r="Q456" s="530">
        <v>232077.53234213131</v>
      </c>
      <c r="R456" s="530">
        <v>135522.54970960296</v>
      </c>
      <c r="S456" s="530">
        <v>106610.93658956964</v>
      </c>
      <c r="T456" s="530">
        <v>237446.56300711315</v>
      </c>
      <c r="U456" s="530" t="s">
        <v>58</v>
      </c>
    </row>
    <row r="457" spans="1:21" ht="13.8" x14ac:dyDescent="0.3">
      <c r="A457" s="530" t="str">
        <f t="shared" ref="A457:A520" si="14">B457&amp;"."&amp;D457&amp;"."&amp;E457&amp;"."&amp;F457</f>
        <v>North Wales.2019.Accommodation.Total</v>
      </c>
      <c r="B457" s="530" t="s">
        <v>220</v>
      </c>
      <c r="C457" s="530" t="str">
        <f t="shared" ref="C457:C520" si="15">D457&amp;"."&amp;E457&amp;"."&amp;F457</f>
        <v>2019.Accommodation.Total</v>
      </c>
      <c r="D457" s="530" t="s">
        <v>245</v>
      </c>
      <c r="E457" s="530" t="s">
        <v>23</v>
      </c>
      <c r="F457" s="530" t="s">
        <v>54</v>
      </c>
      <c r="G457" s="530" t="s">
        <v>54</v>
      </c>
      <c r="H457" s="530">
        <v>99203.896443332778</v>
      </c>
      <c r="I457" s="530">
        <v>102053.90224962223</v>
      </c>
      <c r="J457" s="530">
        <v>233423.30598667479</v>
      </c>
      <c r="K457" s="530">
        <v>259819.99507353507</v>
      </c>
      <c r="L457" s="530">
        <v>258994.44255094143</v>
      </c>
      <c r="M457" s="530">
        <v>262557.56300711317</v>
      </c>
      <c r="N457" s="530">
        <v>261903.85254350025</v>
      </c>
      <c r="O457" s="530">
        <v>261318.85704534521</v>
      </c>
      <c r="P457" s="530">
        <v>262320.95945166657</v>
      </c>
      <c r="Q457" s="530">
        <v>257080.53234213131</v>
      </c>
      <c r="R457" s="530">
        <v>159952.54970960296</v>
      </c>
      <c r="S457" s="530">
        <v>130390.93658956964</v>
      </c>
      <c r="T457" s="530">
        <v>262557.56300711317</v>
      </c>
      <c r="U457" s="530" t="s">
        <v>58</v>
      </c>
    </row>
    <row r="458" spans="1:21" ht="13.8" x14ac:dyDescent="0.3">
      <c r="A458" s="530" t="str">
        <f t="shared" si="14"/>
        <v>North Wales.2019.Economic Impact.Total</v>
      </c>
      <c r="B458" s="530" t="s">
        <v>220</v>
      </c>
      <c r="C458" s="530" t="str">
        <f t="shared" si="15"/>
        <v>2019.Economic Impact.Total</v>
      </c>
      <c r="D458" s="530" t="s">
        <v>245</v>
      </c>
      <c r="E458" s="530" t="s">
        <v>17</v>
      </c>
      <c r="F458" s="530" t="s">
        <v>54</v>
      </c>
      <c r="G458" s="530" t="s">
        <v>54</v>
      </c>
      <c r="H458" s="530">
        <v>111929.65319088877</v>
      </c>
      <c r="I458" s="530">
        <v>128017.33019456759</v>
      </c>
      <c r="J458" s="530">
        <v>266891.89032302226</v>
      </c>
      <c r="K458" s="530">
        <v>341612.779154788</v>
      </c>
      <c r="L458" s="530">
        <v>370129.76180329005</v>
      </c>
      <c r="M458" s="530">
        <v>386260.5267383497</v>
      </c>
      <c r="N458" s="530">
        <v>512251.57077112398</v>
      </c>
      <c r="O458" s="530">
        <v>571149.39630917856</v>
      </c>
      <c r="P458" s="530">
        <v>392089.63364594628</v>
      </c>
      <c r="Q458" s="530">
        <v>300179.13295338652</v>
      </c>
      <c r="R458" s="530">
        <v>164257.86701475352</v>
      </c>
      <c r="S458" s="530">
        <v>145633.14695514942</v>
      </c>
      <c r="T458" s="530">
        <v>3690402.6890544444</v>
      </c>
      <c r="U458" s="530" t="s">
        <v>57</v>
      </c>
    </row>
    <row r="459" spans="1:21" ht="13.8" x14ac:dyDescent="0.3">
      <c r="A459" s="530" t="str">
        <f t="shared" si="14"/>
        <v>North Wales.2020.Economic Impact.Indirect Expenditure</v>
      </c>
      <c r="B459" s="530" t="s">
        <v>220</v>
      </c>
      <c r="C459" s="530" t="str">
        <f t="shared" si="15"/>
        <v>2020.Economic Impact.Indirect Expenditure</v>
      </c>
      <c r="D459" s="530" t="s">
        <v>246</v>
      </c>
      <c r="E459" s="530" t="s">
        <v>17</v>
      </c>
      <c r="F459" s="530" t="s">
        <v>45</v>
      </c>
      <c r="G459" s="530" t="s">
        <v>45</v>
      </c>
      <c r="H459" s="530">
        <v>27577.117574331765</v>
      </c>
      <c r="I459" s="530">
        <v>32668.402883170369</v>
      </c>
      <c r="J459" s="530">
        <v>47803.79304492777</v>
      </c>
      <c r="K459" s="530">
        <v>0</v>
      </c>
      <c r="L459" s="530">
        <v>0</v>
      </c>
      <c r="M459" s="530">
        <v>817.6694780659584</v>
      </c>
      <c r="N459" s="530">
        <v>41864.233405813269</v>
      </c>
      <c r="O459" s="530">
        <v>106698.51659901714</v>
      </c>
      <c r="P459" s="530">
        <v>88660.328220724215</v>
      </c>
      <c r="Q459" s="530">
        <v>18660.858282676149</v>
      </c>
      <c r="R459" s="530">
        <v>12690.113541954111</v>
      </c>
      <c r="S459" s="530">
        <v>8018.9221841666422</v>
      </c>
      <c r="T459" s="530">
        <v>385459.95521484734</v>
      </c>
      <c r="U459" s="530" t="s">
        <v>57</v>
      </c>
    </row>
    <row r="460" spans="1:21" ht="13.8" x14ac:dyDescent="0.3">
      <c r="A460" s="530" t="str">
        <f t="shared" si="14"/>
        <v>North Wales.2020.Economic Impact.Direct Revenue</v>
      </c>
      <c r="B460" s="530" t="s">
        <v>220</v>
      </c>
      <c r="C460" s="530" t="str">
        <f t="shared" si="15"/>
        <v>2020.Economic Impact.Direct Revenue</v>
      </c>
      <c r="D460" s="530" t="s">
        <v>246</v>
      </c>
      <c r="E460" s="530" t="s">
        <v>17</v>
      </c>
      <c r="F460" s="530" t="s">
        <v>46</v>
      </c>
      <c r="G460" s="530" t="s">
        <v>46</v>
      </c>
      <c r="H460" s="530">
        <v>67835.216926658017</v>
      </c>
      <c r="I460" s="530">
        <v>78878.886845716333</v>
      </c>
      <c r="J460" s="530">
        <v>113870.6824600065</v>
      </c>
      <c r="K460" s="530">
        <v>0</v>
      </c>
      <c r="L460" s="530">
        <v>0</v>
      </c>
      <c r="M460" s="530">
        <v>1954.0901397236366</v>
      </c>
      <c r="N460" s="530">
        <v>95841.427535095776</v>
      </c>
      <c r="O460" s="530">
        <v>271630.13046687818</v>
      </c>
      <c r="P460" s="530">
        <v>225770.29439618302</v>
      </c>
      <c r="Q460" s="530">
        <v>44356.328878181164</v>
      </c>
      <c r="R460" s="530">
        <v>32319.266448110418</v>
      </c>
      <c r="S460" s="530">
        <v>19134.958194978859</v>
      </c>
      <c r="T460" s="530">
        <v>951591.28229153191</v>
      </c>
      <c r="U460" s="530" t="s">
        <v>57</v>
      </c>
    </row>
    <row r="461" spans="1:21" ht="13.8" x14ac:dyDescent="0.3">
      <c r="A461" s="530" t="str">
        <f t="shared" si="14"/>
        <v>North Wales.2020.Economic Impact.VAT</v>
      </c>
      <c r="B461" s="530" t="s">
        <v>220</v>
      </c>
      <c r="C461" s="530" t="str">
        <f t="shared" si="15"/>
        <v>2020.Economic Impact.VAT</v>
      </c>
      <c r="D461" s="530" t="s">
        <v>246</v>
      </c>
      <c r="E461" s="530" t="s">
        <v>17</v>
      </c>
      <c r="F461" s="530" t="s">
        <v>47</v>
      </c>
      <c r="G461" s="530" t="s">
        <v>47</v>
      </c>
      <c r="H461" s="530">
        <v>13567.043385331604</v>
      </c>
      <c r="I461" s="530">
        <v>15775.777369143269</v>
      </c>
      <c r="J461" s="530">
        <v>22774.136492001304</v>
      </c>
      <c r="K461" s="530">
        <v>0</v>
      </c>
      <c r="L461" s="530">
        <v>0</v>
      </c>
      <c r="M461" s="530">
        <v>390.81802794472731</v>
      </c>
      <c r="N461" s="530">
        <v>15529.124549675827</v>
      </c>
      <c r="O461" s="530">
        <v>32656.75543517989</v>
      </c>
      <c r="P461" s="530">
        <v>26223.34860392542</v>
      </c>
      <c r="Q461" s="530">
        <v>5377.9846733547865</v>
      </c>
      <c r="R461" s="530">
        <v>3885.6379048851786</v>
      </c>
      <c r="S461" s="530">
        <v>2318.7310255910666</v>
      </c>
      <c r="T461" s="530">
        <v>138499.35746703306</v>
      </c>
      <c r="U461" s="530" t="s">
        <v>57</v>
      </c>
    </row>
    <row r="462" spans="1:21" ht="13.8" x14ac:dyDescent="0.3">
      <c r="A462" s="530" t="str">
        <f t="shared" si="14"/>
        <v>North Wales.2020.Economic Impact.Serviced Accommodation</v>
      </c>
      <c r="B462" s="530" t="s">
        <v>220</v>
      </c>
      <c r="C462" s="530" t="str">
        <f t="shared" si="15"/>
        <v>2020.Economic Impact.Serviced Accommodation</v>
      </c>
      <c r="D462" s="530" t="s">
        <v>246</v>
      </c>
      <c r="E462" s="530" t="s">
        <v>17</v>
      </c>
      <c r="F462" s="530" t="s">
        <v>43</v>
      </c>
      <c r="G462" s="530" t="s">
        <v>43</v>
      </c>
      <c r="H462" s="530">
        <v>28689.841215939185</v>
      </c>
      <c r="I462" s="530">
        <v>30237.116508755462</v>
      </c>
      <c r="J462" s="530">
        <v>17719.995566613194</v>
      </c>
      <c r="K462" s="530">
        <v>0</v>
      </c>
      <c r="L462" s="530">
        <v>0</v>
      </c>
      <c r="M462" s="530">
        <v>0</v>
      </c>
      <c r="N462" s="530">
        <v>2556.6693433667137</v>
      </c>
      <c r="O462" s="530">
        <v>58936.320216046232</v>
      </c>
      <c r="P462" s="530">
        <v>49128.704726317468</v>
      </c>
      <c r="Q462" s="530">
        <v>2618.3892495860873</v>
      </c>
      <c r="R462" s="530">
        <v>10266.488046985691</v>
      </c>
      <c r="S462" s="530">
        <v>2840.3930251459924</v>
      </c>
      <c r="T462" s="530">
        <v>202993.91789875602</v>
      </c>
      <c r="U462" s="530" t="s">
        <v>57</v>
      </c>
    </row>
    <row r="463" spans="1:21" ht="13.8" x14ac:dyDescent="0.3">
      <c r="A463" s="530" t="str">
        <f t="shared" si="14"/>
        <v>North Wales.2020.Economic Impact.Non-Serviced Accommodation</v>
      </c>
      <c r="B463" s="530" t="s">
        <v>220</v>
      </c>
      <c r="C463" s="530" t="str">
        <f t="shared" si="15"/>
        <v>2020.Economic Impact.Non-Serviced Accommodation</v>
      </c>
      <c r="D463" s="530" t="s">
        <v>246</v>
      </c>
      <c r="E463" s="530" t="s">
        <v>17</v>
      </c>
      <c r="F463" s="530" t="s">
        <v>48</v>
      </c>
      <c r="G463" s="530" t="s">
        <v>48</v>
      </c>
      <c r="H463" s="530">
        <v>41749.119309044327</v>
      </c>
      <c r="I463" s="530">
        <v>53227.524026332372</v>
      </c>
      <c r="J463" s="530">
        <v>120342.55371929213</v>
      </c>
      <c r="K463" s="530">
        <v>0</v>
      </c>
      <c r="L463" s="530">
        <v>0</v>
      </c>
      <c r="M463" s="530">
        <v>0</v>
      </c>
      <c r="N463" s="530">
        <v>98286.687748036871</v>
      </c>
      <c r="O463" s="530">
        <v>241325.51925345851</v>
      </c>
      <c r="P463" s="530">
        <v>224165.00076961779</v>
      </c>
      <c r="Q463" s="530">
        <v>56314.460204707691</v>
      </c>
      <c r="R463" s="530">
        <v>22071.211642544113</v>
      </c>
      <c r="S463" s="530">
        <v>15030.542508376</v>
      </c>
      <c r="T463" s="530">
        <v>872512.61918140971</v>
      </c>
      <c r="U463" s="530" t="s">
        <v>57</v>
      </c>
    </row>
    <row r="464" spans="1:21" ht="13.8" x14ac:dyDescent="0.3">
      <c r="A464" s="530" t="str">
        <f t="shared" si="14"/>
        <v>North Wales.2020.Economic Impact.SFR</v>
      </c>
      <c r="B464" s="530" t="s">
        <v>220</v>
      </c>
      <c r="C464" s="530" t="str">
        <f t="shared" si="15"/>
        <v>2020.Economic Impact.SFR</v>
      </c>
      <c r="D464" s="530" t="s">
        <v>246</v>
      </c>
      <c r="E464" s="530" t="s">
        <v>17</v>
      </c>
      <c r="F464" s="530" t="s">
        <v>18</v>
      </c>
      <c r="G464" s="530" t="s">
        <v>18</v>
      </c>
      <c r="H464" s="530">
        <v>15503.992392528575</v>
      </c>
      <c r="I464" s="530">
        <v>5209.3414438896007</v>
      </c>
      <c r="J464" s="530">
        <v>3245.0614050523727</v>
      </c>
      <c r="K464" s="530">
        <v>0</v>
      </c>
      <c r="L464" s="530">
        <v>0</v>
      </c>
      <c r="M464" s="530">
        <v>0</v>
      </c>
      <c r="N464" s="530">
        <v>1136.9594421187621</v>
      </c>
      <c r="O464" s="530">
        <v>1203.578374763636</v>
      </c>
      <c r="P464" s="530">
        <v>0</v>
      </c>
      <c r="Q464" s="530">
        <v>0</v>
      </c>
      <c r="R464" s="530">
        <v>0</v>
      </c>
      <c r="S464" s="530">
        <v>0</v>
      </c>
      <c r="T464" s="530">
        <v>26298.933058352944</v>
      </c>
      <c r="U464" s="530" t="s">
        <v>57</v>
      </c>
    </row>
    <row r="465" spans="1:21" ht="13.8" x14ac:dyDescent="0.3">
      <c r="A465" s="530" t="str">
        <f t="shared" si="14"/>
        <v>North Wales.2020.Economic Impact.Day Visitor</v>
      </c>
      <c r="B465" s="530" t="s">
        <v>220</v>
      </c>
      <c r="C465" s="530" t="str">
        <f t="shared" si="15"/>
        <v>2020.Economic Impact.Day Visitor</v>
      </c>
      <c r="D465" s="530" t="s">
        <v>246</v>
      </c>
      <c r="E465" s="530" t="s">
        <v>17</v>
      </c>
      <c r="F465" s="530" t="s">
        <v>71</v>
      </c>
      <c r="G465" s="530" t="s">
        <v>71</v>
      </c>
      <c r="H465" s="530">
        <v>23036.42496880929</v>
      </c>
      <c r="I465" s="530">
        <v>38649.085119052528</v>
      </c>
      <c r="J465" s="530">
        <v>43141.001305977872</v>
      </c>
      <c r="K465" s="530">
        <v>0</v>
      </c>
      <c r="L465" s="530">
        <v>0</v>
      </c>
      <c r="M465" s="530">
        <v>3162.5776457343218</v>
      </c>
      <c r="N465" s="530">
        <v>51254.46895706252</v>
      </c>
      <c r="O465" s="530">
        <v>109519.98465680682</v>
      </c>
      <c r="P465" s="530">
        <v>67360.265724897385</v>
      </c>
      <c r="Q465" s="530">
        <v>9462.3223799183288</v>
      </c>
      <c r="R465" s="530">
        <v>16557.318205419906</v>
      </c>
      <c r="S465" s="530">
        <v>11601.675871214577</v>
      </c>
      <c r="T465" s="530">
        <v>373745.12483489356</v>
      </c>
      <c r="U465" s="530" t="s">
        <v>57</v>
      </c>
    </row>
    <row r="466" spans="1:21" ht="13.8" x14ac:dyDescent="0.3">
      <c r="A466" s="530" t="str">
        <f t="shared" si="14"/>
        <v>North Wales.2020.Economic Impact.Accommodation</v>
      </c>
      <c r="B466" s="530" t="s">
        <v>220</v>
      </c>
      <c r="C466" s="530" t="str">
        <f t="shared" si="15"/>
        <v>2020.Economic Impact.Accommodation</v>
      </c>
      <c r="D466" s="530" t="s">
        <v>246</v>
      </c>
      <c r="E466" s="530" t="s">
        <v>17</v>
      </c>
      <c r="F466" s="530" t="s">
        <v>23</v>
      </c>
      <c r="G466" s="530" t="s">
        <v>23</v>
      </c>
      <c r="H466" s="530">
        <v>18859.472835443979</v>
      </c>
      <c r="I466" s="530">
        <v>21045.340133432037</v>
      </c>
      <c r="J466" s="530">
        <v>24762.546087962954</v>
      </c>
      <c r="K466" s="530">
        <v>0</v>
      </c>
      <c r="L466" s="530">
        <v>0</v>
      </c>
      <c r="M466" s="530">
        <v>0</v>
      </c>
      <c r="N466" s="530">
        <v>27083.636952326553</v>
      </c>
      <c r="O466" s="530">
        <v>81473.977378267999</v>
      </c>
      <c r="P466" s="530">
        <v>74591.407890965565</v>
      </c>
      <c r="Q466" s="530">
        <v>12312.48512137455</v>
      </c>
      <c r="R466" s="530">
        <v>9669.4648491033076</v>
      </c>
      <c r="S466" s="530">
        <v>5578.5990545923378</v>
      </c>
      <c r="T466" s="530">
        <v>275376.93030346924</v>
      </c>
      <c r="U466" s="530" t="s">
        <v>57</v>
      </c>
    </row>
    <row r="467" spans="1:21" ht="13.8" x14ac:dyDescent="0.3">
      <c r="A467" s="530" t="str">
        <f t="shared" si="14"/>
        <v>North Wales.2020.Economic Impact.Food &amp; Drink</v>
      </c>
      <c r="B467" s="530" t="s">
        <v>220</v>
      </c>
      <c r="C467" s="530" t="str">
        <f t="shared" si="15"/>
        <v>2020.Economic Impact.Food &amp; Drink</v>
      </c>
      <c r="D467" s="530" t="s">
        <v>246</v>
      </c>
      <c r="E467" s="530" t="s">
        <v>17</v>
      </c>
      <c r="F467" s="530" t="s">
        <v>49</v>
      </c>
      <c r="G467" s="530" t="s">
        <v>49</v>
      </c>
      <c r="H467" s="530">
        <v>16498.852455100307</v>
      </c>
      <c r="I467" s="530">
        <v>17856.169808484312</v>
      </c>
      <c r="J467" s="530">
        <v>28049.933917703951</v>
      </c>
      <c r="K467" s="530">
        <v>0</v>
      </c>
      <c r="L467" s="530">
        <v>0</v>
      </c>
      <c r="M467" s="530">
        <v>451.00983479360798</v>
      </c>
      <c r="N467" s="530">
        <v>21650.142186564379</v>
      </c>
      <c r="O467" s="530">
        <v>63835.571355901222</v>
      </c>
      <c r="P467" s="530">
        <v>52359.702989564634</v>
      </c>
      <c r="Q467" s="530">
        <v>11202.015835166585</v>
      </c>
      <c r="R467" s="530">
        <v>7088.0661254668721</v>
      </c>
      <c r="S467" s="530">
        <v>4227.0476919442481</v>
      </c>
      <c r="T467" s="530">
        <v>223218.51220069011</v>
      </c>
      <c r="U467" s="530" t="s">
        <v>57</v>
      </c>
    </row>
    <row r="468" spans="1:21" ht="13.8" x14ac:dyDescent="0.3">
      <c r="A468" s="530" t="str">
        <f t="shared" si="14"/>
        <v>North Wales.2020.Economic Impact.Recreation</v>
      </c>
      <c r="B468" s="530" t="s">
        <v>220</v>
      </c>
      <c r="C468" s="530" t="str">
        <f t="shared" si="15"/>
        <v>2020.Economic Impact.Recreation</v>
      </c>
      <c r="D468" s="530" t="s">
        <v>246</v>
      </c>
      <c r="E468" s="530" t="s">
        <v>17</v>
      </c>
      <c r="F468" s="530" t="s">
        <v>50</v>
      </c>
      <c r="G468" s="530" t="s">
        <v>50</v>
      </c>
      <c r="H468" s="530">
        <v>4789.4004114692098</v>
      </c>
      <c r="I468" s="530">
        <v>5819.2049123061497</v>
      </c>
      <c r="J468" s="530">
        <v>11190.571412191923</v>
      </c>
      <c r="K468" s="530">
        <v>0</v>
      </c>
      <c r="L468" s="530">
        <v>0</v>
      </c>
      <c r="M468" s="530">
        <v>128.61497189931791</v>
      </c>
      <c r="N468" s="530">
        <v>6934.5366742149236</v>
      </c>
      <c r="O468" s="530">
        <v>20148.19799037034</v>
      </c>
      <c r="P468" s="530">
        <v>16458.066714136243</v>
      </c>
      <c r="Q468" s="530">
        <v>3432.7249121691157</v>
      </c>
      <c r="R468" s="530">
        <v>2936.7841622789811</v>
      </c>
      <c r="S468" s="530">
        <v>1741.5812433077965</v>
      </c>
      <c r="T468" s="530">
        <v>73579.683404344003</v>
      </c>
      <c r="U468" s="530" t="s">
        <v>57</v>
      </c>
    </row>
    <row r="469" spans="1:21" ht="13.8" x14ac:dyDescent="0.3">
      <c r="A469" s="530" t="str">
        <f t="shared" si="14"/>
        <v>North Wales.2020.Economic Impact.Shopping</v>
      </c>
      <c r="B469" s="530" t="s">
        <v>220</v>
      </c>
      <c r="C469" s="530" t="str">
        <f t="shared" si="15"/>
        <v>2020.Economic Impact.Shopping</v>
      </c>
      <c r="D469" s="530" t="s">
        <v>246</v>
      </c>
      <c r="E469" s="530" t="s">
        <v>17</v>
      </c>
      <c r="F469" s="530" t="s">
        <v>51</v>
      </c>
      <c r="G469" s="530" t="s">
        <v>51</v>
      </c>
      <c r="H469" s="530">
        <v>21107.274678848931</v>
      </c>
      <c r="I469" s="530">
        <v>26175.545679592258</v>
      </c>
      <c r="J469" s="530">
        <v>36616.594996522414</v>
      </c>
      <c r="K469" s="530">
        <v>0</v>
      </c>
      <c r="L469" s="530">
        <v>0</v>
      </c>
      <c r="M469" s="530">
        <v>1125.8097206920293</v>
      </c>
      <c r="N469" s="530">
        <v>30882.170014436604</v>
      </c>
      <c r="O469" s="530">
        <v>80216.29340435288</v>
      </c>
      <c r="P469" s="530">
        <v>61401.583001800042</v>
      </c>
      <c r="Q469" s="530">
        <v>12930.956362307041</v>
      </c>
      <c r="R469" s="530">
        <v>9547.8513000510902</v>
      </c>
      <c r="S469" s="530">
        <v>5807.8973335885548</v>
      </c>
      <c r="T469" s="530">
        <v>285811.97649219184</v>
      </c>
      <c r="U469" s="530" t="s">
        <v>57</v>
      </c>
    </row>
    <row r="470" spans="1:21" ht="13.8" x14ac:dyDescent="0.3">
      <c r="A470" s="530" t="str">
        <f t="shared" si="14"/>
        <v>North Wales.2020.Economic Impact.Transport</v>
      </c>
      <c r="B470" s="530" t="s">
        <v>220</v>
      </c>
      <c r="C470" s="530" t="str">
        <f t="shared" si="15"/>
        <v>2020.Economic Impact.Transport</v>
      </c>
      <c r="D470" s="530" t="s">
        <v>246</v>
      </c>
      <c r="E470" s="530" t="s">
        <v>17</v>
      </c>
      <c r="F470" s="530" t="s">
        <v>52</v>
      </c>
      <c r="G470" s="530" t="s">
        <v>52</v>
      </c>
      <c r="H470" s="530">
        <v>6580.2165457955825</v>
      </c>
      <c r="I470" s="530">
        <v>7982.6263119015639</v>
      </c>
      <c r="J470" s="530">
        <v>13251.036045625273</v>
      </c>
      <c r="K470" s="530">
        <v>0</v>
      </c>
      <c r="L470" s="530">
        <v>0</v>
      </c>
      <c r="M470" s="530">
        <v>248.65561233868124</v>
      </c>
      <c r="N470" s="530">
        <v>9290.9417075533165</v>
      </c>
      <c r="O470" s="530">
        <v>25956.090337985748</v>
      </c>
      <c r="P470" s="530">
        <v>20959.533799716526</v>
      </c>
      <c r="Q470" s="530">
        <v>4478.1466471638842</v>
      </c>
      <c r="R470" s="530">
        <v>3077.1000112101656</v>
      </c>
      <c r="S470" s="530">
        <v>1779.8328715459236</v>
      </c>
      <c r="T470" s="530">
        <v>93604.179890836662</v>
      </c>
      <c r="U470" s="530" t="s">
        <v>57</v>
      </c>
    </row>
    <row r="471" spans="1:21" ht="13.8" x14ac:dyDescent="0.3">
      <c r="A471" s="530" t="str">
        <f t="shared" si="14"/>
        <v>North Wales.2020.Economic Impact.Direct Expenditure</v>
      </c>
      <c r="B471" s="530" t="s">
        <v>220</v>
      </c>
      <c r="C471" s="530" t="str">
        <f t="shared" si="15"/>
        <v>2020.Economic Impact.Direct Expenditure</v>
      </c>
      <c r="D471" s="530" t="s">
        <v>246</v>
      </c>
      <c r="E471" s="530" t="s">
        <v>17</v>
      </c>
      <c r="F471" s="530" t="s">
        <v>44</v>
      </c>
      <c r="G471" s="530" t="s">
        <v>44</v>
      </c>
      <c r="H471" s="530">
        <v>81402.260311989608</v>
      </c>
      <c r="I471" s="530">
        <v>94654.664214859586</v>
      </c>
      <c r="J471" s="530">
        <v>136644.81895200777</v>
      </c>
      <c r="K471" s="530">
        <v>0</v>
      </c>
      <c r="L471" s="530">
        <v>0</v>
      </c>
      <c r="M471" s="530">
        <v>2344.9081676683636</v>
      </c>
      <c r="N471" s="530">
        <v>111370.5520847716</v>
      </c>
      <c r="O471" s="530">
        <v>304286.88590205804</v>
      </c>
      <c r="P471" s="530">
        <v>251993.64300010842</v>
      </c>
      <c r="Q471" s="530">
        <v>49734.313551535954</v>
      </c>
      <c r="R471" s="530">
        <v>36204.904352995596</v>
      </c>
      <c r="S471" s="530">
        <v>21453.689220569926</v>
      </c>
      <c r="T471" s="530">
        <v>1090090.639758565</v>
      </c>
      <c r="U471" s="530" t="s">
        <v>57</v>
      </c>
    </row>
    <row r="472" spans="1:21" ht="13.8" x14ac:dyDescent="0.3">
      <c r="A472" s="530" t="str">
        <f t="shared" si="14"/>
        <v>North Wales.2020.Population.Total</v>
      </c>
      <c r="B472" s="530" t="s">
        <v>220</v>
      </c>
      <c r="C472" s="530" t="str">
        <f t="shared" si="15"/>
        <v>2020.Population.Total</v>
      </c>
      <c r="D472" s="530" t="s">
        <v>246</v>
      </c>
      <c r="E472" s="530" t="s">
        <v>19</v>
      </c>
      <c r="F472" s="530" t="s">
        <v>54</v>
      </c>
      <c r="G472" s="530" t="s">
        <v>54</v>
      </c>
      <c r="H472" s="530">
        <v>292057</v>
      </c>
      <c r="I472" s="530">
        <v>292057</v>
      </c>
      <c r="J472" s="530">
        <v>292057</v>
      </c>
      <c r="K472" s="530">
        <v>292057</v>
      </c>
      <c r="L472" s="530">
        <v>292057</v>
      </c>
      <c r="M472" s="530">
        <v>292057</v>
      </c>
      <c r="N472" s="530">
        <v>292057</v>
      </c>
      <c r="O472" s="530">
        <v>292057</v>
      </c>
      <c r="P472" s="530">
        <v>292057</v>
      </c>
      <c r="Q472" s="530">
        <v>292057</v>
      </c>
      <c r="R472" s="530">
        <v>292057</v>
      </c>
      <c r="S472" s="530">
        <v>292057</v>
      </c>
      <c r="T472" s="530">
        <v>292057</v>
      </c>
      <c r="U472" s="530" t="s">
        <v>60</v>
      </c>
    </row>
    <row r="473" spans="1:21" ht="13.8" x14ac:dyDescent="0.3">
      <c r="A473" s="530" t="str">
        <f t="shared" si="14"/>
        <v>North Wales.2020.Employment.Serviced Accommodation</v>
      </c>
      <c r="B473" s="530" t="s">
        <v>220</v>
      </c>
      <c r="C473" s="530" t="str">
        <f t="shared" si="15"/>
        <v>2020.Employment.Serviced Accommodation</v>
      </c>
      <c r="D473" s="530" t="s">
        <v>246</v>
      </c>
      <c r="E473" s="530" t="s">
        <v>20</v>
      </c>
      <c r="F473" s="530" t="s">
        <v>43</v>
      </c>
      <c r="G473" s="530" t="s">
        <v>43</v>
      </c>
      <c r="H473" s="530">
        <v>6140.012120134259</v>
      </c>
      <c r="I473" s="530">
        <v>6383.5712404936785</v>
      </c>
      <c r="J473" s="530">
        <v>4651.8810211894779</v>
      </c>
      <c r="K473" s="530">
        <v>0</v>
      </c>
      <c r="L473" s="530">
        <v>0</v>
      </c>
      <c r="M473" s="530">
        <v>0</v>
      </c>
      <c r="N473" s="530">
        <v>686.6179344593836</v>
      </c>
      <c r="O473" s="530">
        <v>7560.2613686393579</v>
      </c>
      <c r="P473" s="530">
        <v>6964.0930192978831</v>
      </c>
      <c r="Q473" s="530">
        <v>1519.9085505016528</v>
      </c>
      <c r="R473" s="530">
        <v>3471.4961983316794</v>
      </c>
      <c r="S473" s="530">
        <v>2221.0333941272679</v>
      </c>
      <c r="T473" s="530">
        <v>3299.9062372645544</v>
      </c>
      <c r="U473" s="530" t="s">
        <v>59</v>
      </c>
    </row>
    <row r="474" spans="1:21" ht="13.8" x14ac:dyDescent="0.3">
      <c r="A474" s="530" t="str">
        <f t="shared" si="14"/>
        <v>North Wales.2020.Employment.Non-Serviced Accommodation</v>
      </c>
      <c r="B474" s="530" t="s">
        <v>220</v>
      </c>
      <c r="C474" s="530" t="str">
        <f t="shared" si="15"/>
        <v>2020.Employment.Non-Serviced Accommodation</v>
      </c>
      <c r="D474" s="530" t="s">
        <v>246</v>
      </c>
      <c r="E474" s="530" t="s">
        <v>20</v>
      </c>
      <c r="F474" s="530" t="s">
        <v>48</v>
      </c>
      <c r="G474" s="530" t="s">
        <v>48</v>
      </c>
      <c r="H474" s="530">
        <v>8570.1527467191772</v>
      </c>
      <c r="I474" s="530">
        <v>9515.4765995283451</v>
      </c>
      <c r="J474" s="530">
        <v>14746.087371540518</v>
      </c>
      <c r="K474" s="530">
        <v>0</v>
      </c>
      <c r="L474" s="530">
        <v>0</v>
      </c>
      <c r="M474" s="530">
        <v>0</v>
      </c>
      <c r="N474" s="530">
        <v>12690.253867481537</v>
      </c>
      <c r="O474" s="530">
        <v>30389.906875655081</v>
      </c>
      <c r="P474" s="530">
        <v>27915.01287541473</v>
      </c>
      <c r="Q474" s="530">
        <v>9771.6398989372137</v>
      </c>
      <c r="R474" s="530">
        <v>5358.761399633383</v>
      </c>
      <c r="S474" s="530">
        <v>4577.7241761285604</v>
      </c>
      <c r="T474" s="530">
        <v>10294.584650919878</v>
      </c>
      <c r="U474" s="530" t="s">
        <v>59</v>
      </c>
    </row>
    <row r="475" spans="1:21" ht="13.8" x14ac:dyDescent="0.3">
      <c r="A475" s="530" t="str">
        <f t="shared" si="14"/>
        <v>North Wales.2020.Employment.SFR</v>
      </c>
      <c r="B475" s="530" t="s">
        <v>220</v>
      </c>
      <c r="C475" s="530" t="str">
        <f t="shared" si="15"/>
        <v>2020.Employment.SFR</v>
      </c>
      <c r="D475" s="530" t="s">
        <v>246</v>
      </c>
      <c r="E475" s="530" t="s">
        <v>20</v>
      </c>
      <c r="F475" s="530" t="s">
        <v>18</v>
      </c>
      <c r="G475" s="530" t="s">
        <v>18</v>
      </c>
      <c r="H475" s="530">
        <v>1788.1922344393506</v>
      </c>
      <c r="I475" s="530">
        <v>600.83259077162177</v>
      </c>
      <c r="J475" s="530">
        <v>374.27737694130224</v>
      </c>
      <c r="K475" s="530">
        <v>0</v>
      </c>
      <c r="L475" s="530">
        <v>0</v>
      </c>
      <c r="M475" s="530">
        <v>0</v>
      </c>
      <c r="N475" s="530">
        <v>179.55767320858854</v>
      </c>
      <c r="O475" s="530">
        <v>172.39153875380489</v>
      </c>
      <c r="P475" s="530">
        <v>0</v>
      </c>
      <c r="Q475" s="530">
        <v>0</v>
      </c>
      <c r="R475" s="530">
        <v>0</v>
      </c>
      <c r="S475" s="530">
        <v>0</v>
      </c>
      <c r="T475" s="530">
        <v>259.60428450955567</v>
      </c>
      <c r="U475" s="530" t="s">
        <v>59</v>
      </c>
    </row>
    <row r="476" spans="1:21" ht="13.8" x14ac:dyDescent="0.3">
      <c r="A476" s="530" t="str">
        <f t="shared" si="14"/>
        <v>North Wales.2020.Employment.Day Visitor</v>
      </c>
      <c r="B476" s="530" t="s">
        <v>220</v>
      </c>
      <c r="C476" s="530" t="str">
        <f t="shared" si="15"/>
        <v>2020.Employment.Day Visitor</v>
      </c>
      <c r="D476" s="530" t="s">
        <v>246</v>
      </c>
      <c r="E476" s="530" t="s">
        <v>20</v>
      </c>
      <c r="F476" s="530" t="s">
        <v>71</v>
      </c>
      <c r="G476" s="530" t="s">
        <v>71</v>
      </c>
      <c r="H476" s="530">
        <v>2505.8078242741522</v>
      </c>
      <c r="I476" s="530">
        <v>4168.894897823805</v>
      </c>
      <c r="J476" s="530">
        <v>4671.8098449199406</v>
      </c>
      <c r="K476" s="530">
        <v>0</v>
      </c>
      <c r="L476" s="530">
        <v>0</v>
      </c>
      <c r="M476" s="530">
        <v>1118.0304006907961</v>
      </c>
      <c r="N476" s="530">
        <v>7029.6655184490164</v>
      </c>
      <c r="O476" s="530">
        <v>13892.552916247205</v>
      </c>
      <c r="P476" s="530">
        <v>8535.8950544728377</v>
      </c>
      <c r="Q476" s="530">
        <v>1334.8465042637797</v>
      </c>
      <c r="R476" s="530">
        <v>2498.9621475982212</v>
      </c>
      <c r="S476" s="530">
        <v>1774.8008093662925</v>
      </c>
      <c r="T476" s="530">
        <v>3960.9388265088364</v>
      </c>
      <c r="U476" s="530" t="s">
        <v>59</v>
      </c>
    </row>
    <row r="477" spans="1:21" ht="13.8" x14ac:dyDescent="0.3">
      <c r="A477" s="530" t="str">
        <f t="shared" si="14"/>
        <v>North Wales.2020.Employment.Direct Employment</v>
      </c>
      <c r="B477" s="530" t="s">
        <v>220</v>
      </c>
      <c r="C477" s="530" t="str">
        <f t="shared" si="15"/>
        <v>2020.Employment.Direct Employment</v>
      </c>
      <c r="D477" s="530" t="s">
        <v>246</v>
      </c>
      <c r="E477" s="530" t="s">
        <v>20</v>
      </c>
      <c r="F477" s="530" t="s">
        <v>55</v>
      </c>
      <c r="G477" s="530" t="s">
        <v>55</v>
      </c>
      <c r="H477" s="530">
        <v>19004.16492556694</v>
      </c>
      <c r="I477" s="530">
        <v>20668.775328617448</v>
      </c>
      <c r="J477" s="530">
        <v>24444.055614591241</v>
      </c>
      <c r="K477" s="530">
        <v>0</v>
      </c>
      <c r="L477" s="530">
        <v>0</v>
      </c>
      <c r="M477" s="530">
        <v>1118.0304006907961</v>
      </c>
      <c r="N477" s="530">
        <v>20586.094993598526</v>
      </c>
      <c r="O477" s="530">
        <v>52015.112699295452</v>
      </c>
      <c r="P477" s="530">
        <v>43415.000949185451</v>
      </c>
      <c r="Q477" s="530">
        <v>12626.394953702646</v>
      </c>
      <c r="R477" s="530">
        <v>11329.219745563285</v>
      </c>
      <c r="S477" s="530">
        <v>8573.5583796221199</v>
      </c>
      <c r="T477" s="530">
        <v>17815.033999202828</v>
      </c>
      <c r="U477" s="530" t="s">
        <v>59</v>
      </c>
    </row>
    <row r="478" spans="1:21" ht="13.8" x14ac:dyDescent="0.3">
      <c r="A478" s="530" t="str">
        <f t="shared" si="14"/>
        <v>North Wales.2020.Employment.Indirect Employment</v>
      </c>
      <c r="B478" s="530" t="s">
        <v>220</v>
      </c>
      <c r="C478" s="530" t="str">
        <f t="shared" si="15"/>
        <v>2020.Employment.Indirect Employment</v>
      </c>
      <c r="D478" s="530" t="s">
        <v>246</v>
      </c>
      <c r="E478" s="530" t="s">
        <v>20</v>
      </c>
      <c r="F478" s="530" t="s">
        <v>53</v>
      </c>
      <c r="G478" s="530" t="s">
        <v>53</v>
      </c>
      <c r="H478" s="530">
        <v>3374.5833806947312</v>
      </c>
      <c r="I478" s="530">
        <v>3997.5987028462273</v>
      </c>
      <c r="J478" s="530">
        <v>5849.7007567511391</v>
      </c>
      <c r="K478" s="530">
        <v>0</v>
      </c>
      <c r="L478" s="530">
        <v>0</v>
      </c>
      <c r="M478" s="530">
        <v>272.66497060029724</v>
      </c>
      <c r="N478" s="530">
        <v>6117.8074736913704</v>
      </c>
      <c r="O478" s="530">
        <v>15267.967208909498</v>
      </c>
      <c r="P478" s="530">
        <v>12736.249719791669</v>
      </c>
      <c r="Q478" s="530">
        <v>2872.7070445583208</v>
      </c>
      <c r="R478" s="530">
        <v>1949.266290053451</v>
      </c>
      <c r="S478" s="530">
        <v>1233.1897353523193</v>
      </c>
      <c r="T478" s="530">
        <v>4472.6446069374188</v>
      </c>
      <c r="U478" s="530" t="s">
        <v>59</v>
      </c>
    </row>
    <row r="479" spans="1:21" ht="13.8" x14ac:dyDescent="0.3">
      <c r="A479" s="530" t="str">
        <f t="shared" si="14"/>
        <v>North Wales.2020.Employment.Total</v>
      </c>
      <c r="B479" s="530" t="s">
        <v>220</v>
      </c>
      <c r="C479" s="530" t="str">
        <f t="shared" si="15"/>
        <v>2020.Employment.Total</v>
      </c>
      <c r="D479" s="530" t="s">
        <v>246</v>
      </c>
      <c r="E479" s="530" t="s">
        <v>20</v>
      </c>
      <c r="F479" s="530" t="s">
        <v>54</v>
      </c>
      <c r="G479" s="530" t="s">
        <v>54</v>
      </c>
      <c r="H479" s="530">
        <v>22378.74830626167</v>
      </c>
      <c r="I479" s="530">
        <v>24666.374031463674</v>
      </c>
      <c r="J479" s="530">
        <v>30293.756371342381</v>
      </c>
      <c r="K479" s="530">
        <v>0</v>
      </c>
      <c r="L479" s="530">
        <v>0</v>
      </c>
      <c r="M479" s="530">
        <v>1390.6953712910934</v>
      </c>
      <c r="N479" s="530">
        <v>26703.902467289896</v>
      </c>
      <c r="O479" s="530">
        <v>67283.079908204949</v>
      </c>
      <c r="P479" s="530">
        <v>56151.250668977118</v>
      </c>
      <c r="Q479" s="530">
        <v>15499.101998260967</v>
      </c>
      <c r="R479" s="530">
        <v>13278.486035616736</v>
      </c>
      <c r="S479" s="530">
        <v>9806.7481149744399</v>
      </c>
      <c r="T479" s="530">
        <v>22287.678606140249</v>
      </c>
      <c r="U479" s="530" t="s">
        <v>59</v>
      </c>
    </row>
    <row r="480" spans="1:21" ht="13.8" x14ac:dyDescent="0.3">
      <c r="A480" s="530" t="str">
        <f t="shared" si="14"/>
        <v>North Wales.2020.Employment.Accommodation</v>
      </c>
      <c r="B480" s="530" t="s">
        <v>220</v>
      </c>
      <c r="C480" s="530" t="str">
        <f t="shared" si="15"/>
        <v>2020.Employment.Accommodation</v>
      </c>
      <c r="D480" s="530" t="s">
        <v>246</v>
      </c>
      <c r="E480" s="530" t="s">
        <v>20</v>
      </c>
      <c r="F480" s="530" t="s">
        <v>23</v>
      </c>
      <c r="G480" s="530" t="s">
        <v>23</v>
      </c>
      <c r="H480" s="530">
        <v>10255.211547103407</v>
      </c>
      <c r="I480" s="530">
        <v>10431.171672867298</v>
      </c>
      <c r="J480" s="530">
        <v>8628.2968678160923</v>
      </c>
      <c r="K480" s="530">
        <v>0</v>
      </c>
      <c r="L480" s="530">
        <v>0</v>
      </c>
      <c r="M480" s="530">
        <v>0</v>
      </c>
      <c r="N480" s="530">
        <v>4656.2786400000005</v>
      </c>
      <c r="O480" s="530">
        <v>12490.794749820645</v>
      </c>
      <c r="P480" s="530">
        <v>11784.593048022076</v>
      </c>
      <c r="Q480" s="530">
        <v>4677.292996662959</v>
      </c>
      <c r="R480" s="530">
        <v>5743.4207219827586</v>
      </c>
      <c r="S480" s="530">
        <v>5231.6183469827583</v>
      </c>
      <c r="T480" s="530">
        <v>6158.2232159381665</v>
      </c>
      <c r="U480" s="530" t="s">
        <v>59</v>
      </c>
    </row>
    <row r="481" spans="1:21" ht="13.8" x14ac:dyDescent="0.3">
      <c r="A481" s="530" t="str">
        <f t="shared" si="14"/>
        <v>North Wales.2020.Employment.Food &amp; Drink</v>
      </c>
      <c r="B481" s="530" t="s">
        <v>220</v>
      </c>
      <c r="C481" s="530" t="str">
        <f t="shared" si="15"/>
        <v>2020.Employment.Food &amp; Drink</v>
      </c>
      <c r="D481" s="530" t="s">
        <v>246</v>
      </c>
      <c r="E481" s="530" t="s">
        <v>20</v>
      </c>
      <c r="F481" s="530" t="s">
        <v>49</v>
      </c>
      <c r="G481" s="530" t="s">
        <v>49</v>
      </c>
      <c r="H481" s="530">
        <v>3622.9846354691927</v>
      </c>
      <c r="I481" s="530">
        <v>3921.0380867712438</v>
      </c>
      <c r="J481" s="530">
        <v>6159.4877514255422</v>
      </c>
      <c r="K481" s="530">
        <v>0</v>
      </c>
      <c r="L481" s="530">
        <v>0</v>
      </c>
      <c r="M481" s="530">
        <v>161.88788448691554</v>
      </c>
      <c r="N481" s="530">
        <v>7368.1211237758234</v>
      </c>
      <c r="O481" s="530">
        <v>17991.945026216745</v>
      </c>
      <c r="P481" s="530">
        <v>14757.491438826073</v>
      </c>
      <c r="Q481" s="530">
        <v>4020.9115315055838</v>
      </c>
      <c r="R481" s="530">
        <v>2544.2283995432344</v>
      </c>
      <c r="S481" s="530">
        <v>1517.2791271554142</v>
      </c>
      <c r="T481" s="530">
        <v>5172.1145837646482</v>
      </c>
      <c r="U481" s="530" t="s">
        <v>59</v>
      </c>
    </row>
    <row r="482" spans="1:21" ht="13.8" x14ac:dyDescent="0.3">
      <c r="A482" s="530" t="str">
        <f t="shared" si="14"/>
        <v>North Wales.2020.Employment.Recreation</v>
      </c>
      <c r="B482" s="530" t="s">
        <v>220</v>
      </c>
      <c r="C482" s="530" t="str">
        <f t="shared" si="15"/>
        <v>2020.Employment.Recreation</v>
      </c>
      <c r="D482" s="530" t="s">
        <v>246</v>
      </c>
      <c r="E482" s="530" t="s">
        <v>20</v>
      </c>
      <c r="F482" s="530" t="s">
        <v>50</v>
      </c>
      <c r="G482" s="530" t="s">
        <v>50</v>
      </c>
      <c r="H482" s="530">
        <v>1016.1630191331661</v>
      </c>
      <c r="I482" s="530">
        <v>1234.655765778748</v>
      </c>
      <c r="J482" s="530">
        <v>2374.2940358060196</v>
      </c>
      <c r="K482" s="530">
        <v>0</v>
      </c>
      <c r="L482" s="530">
        <v>0</v>
      </c>
      <c r="M482" s="530">
        <v>51.402647352943212</v>
      </c>
      <c r="N482" s="530">
        <v>2575.2896188792615</v>
      </c>
      <c r="O482" s="530">
        <v>5831.3125951216089</v>
      </c>
      <c r="P482" s="530">
        <v>4763.310930702758</v>
      </c>
      <c r="Q482" s="530">
        <v>1371.9331856482552</v>
      </c>
      <c r="R482" s="530">
        <v>1173.724010634689</v>
      </c>
      <c r="S482" s="530">
        <v>696.04560934266965</v>
      </c>
      <c r="T482" s="530">
        <v>1757.3442848666771</v>
      </c>
      <c r="U482" s="530" t="s">
        <v>59</v>
      </c>
    </row>
    <row r="483" spans="1:21" ht="13.8" x14ac:dyDescent="0.3">
      <c r="A483" s="530" t="str">
        <f t="shared" si="14"/>
        <v>North Wales.2020.Employment.Shopping</v>
      </c>
      <c r="B483" s="530" t="s">
        <v>220</v>
      </c>
      <c r="C483" s="530" t="str">
        <f t="shared" si="15"/>
        <v>2020.Employment.Shopping</v>
      </c>
      <c r="D483" s="530" t="s">
        <v>246</v>
      </c>
      <c r="E483" s="530" t="s">
        <v>20</v>
      </c>
      <c r="F483" s="530" t="s">
        <v>51</v>
      </c>
      <c r="G483" s="530" t="s">
        <v>51</v>
      </c>
      <c r="H483" s="530">
        <v>3563.7324709341751</v>
      </c>
      <c r="I483" s="530">
        <v>4419.4545957304408</v>
      </c>
      <c r="J483" s="530">
        <v>6182.31157501898</v>
      </c>
      <c r="K483" s="530">
        <v>0</v>
      </c>
      <c r="L483" s="530">
        <v>0</v>
      </c>
      <c r="M483" s="530">
        <v>830.56983131912443</v>
      </c>
      <c r="N483" s="530">
        <v>5214.1166364619112</v>
      </c>
      <c r="O483" s="530">
        <v>13543.643784080652</v>
      </c>
      <c r="P483" s="530">
        <v>10366.985716519222</v>
      </c>
      <c r="Q483" s="530">
        <v>2183.250550804863</v>
      </c>
      <c r="R483" s="530">
        <v>1612.0502633975639</v>
      </c>
      <c r="S483" s="530">
        <v>980.59994151221633</v>
      </c>
      <c r="T483" s="530">
        <v>4074.7262804815959</v>
      </c>
      <c r="U483" s="530" t="s">
        <v>59</v>
      </c>
    </row>
    <row r="484" spans="1:21" ht="13.8" x14ac:dyDescent="0.3">
      <c r="A484" s="530" t="str">
        <f t="shared" si="14"/>
        <v>North Wales.2020.Employment.Transport</v>
      </c>
      <c r="B484" s="530" t="s">
        <v>220</v>
      </c>
      <c r="C484" s="530" t="str">
        <f t="shared" si="15"/>
        <v>2020.Employment.Transport</v>
      </c>
      <c r="D484" s="530" t="s">
        <v>246</v>
      </c>
      <c r="E484" s="530" t="s">
        <v>20</v>
      </c>
      <c r="F484" s="530" t="s">
        <v>52</v>
      </c>
      <c r="G484" s="530" t="s">
        <v>52</v>
      </c>
      <c r="H484" s="530">
        <v>546.07325292699579</v>
      </c>
      <c r="I484" s="530">
        <v>662.45520746972272</v>
      </c>
      <c r="J484" s="530">
        <v>1099.6653845246049</v>
      </c>
      <c r="K484" s="530">
        <v>0</v>
      </c>
      <c r="L484" s="530">
        <v>0</v>
      </c>
      <c r="M484" s="530">
        <v>74.170037531812895</v>
      </c>
      <c r="N484" s="530">
        <v>772.28897448152782</v>
      </c>
      <c r="O484" s="530">
        <v>2157.4165440558008</v>
      </c>
      <c r="P484" s="530">
        <v>1742.6198151153212</v>
      </c>
      <c r="Q484" s="530">
        <v>373.00668908098407</v>
      </c>
      <c r="R484" s="530">
        <v>255.79635000503902</v>
      </c>
      <c r="S484" s="530">
        <v>148.01535462906105</v>
      </c>
      <c r="T484" s="530">
        <v>652.62563415173918</v>
      </c>
      <c r="U484" s="530" t="s">
        <v>59</v>
      </c>
    </row>
    <row r="485" spans="1:21" ht="13.8" x14ac:dyDescent="0.3">
      <c r="A485" s="530" t="str">
        <f t="shared" si="14"/>
        <v>North Wales.2020.Visitor Days.Serviced Accommodation</v>
      </c>
      <c r="B485" s="530" t="s">
        <v>220</v>
      </c>
      <c r="C485" s="530" t="str">
        <f t="shared" si="15"/>
        <v>2020.Visitor Days.Serviced Accommodation</v>
      </c>
      <c r="D485" s="530" t="s">
        <v>246</v>
      </c>
      <c r="E485" s="530" t="s">
        <v>171</v>
      </c>
      <c r="F485" s="530" t="s">
        <v>43</v>
      </c>
      <c r="G485" s="530" t="s">
        <v>43</v>
      </c>
      <c r="H485" s="530">
        <v>271.32018803791777</v>
      </c>
      <c r="I485" s="530">
        <v>287.3863220964335</v>
      </c>
      <c r="J485" s="530">
        <v>162.10115769208278</v>
      </c>
      <c r="K485" s="530">
        <v>0</v>
      </c>
      <c r="L485" s="530">
        <v>0</v>
      </c>
      <c r="M485" s="530">
        <v>0</v>
      </c>
      <c r="N485" s="530">
        <v>17.574908931352816</v>
      </c>
      <c r="O485" s="530">
        <v>404.78287686506854</v>
      </c>
      <c r="P485" s="530">
        <v>337.85692055014965</v>
      </c>
      <c r="Q485" s="530">
        <v>27.586898985392594</v>
      </c>
      <c r="R485" s="530">
        <v>96.751692406305807</v>
      </c>
      <c r="S485" s="530">
        <v>26.435365107580324</v>
      </c>
      <c r="T485" s="530">
        <v>1631.7963306722838</v>
      </c>
      <c r="U485" s="530" t="s">
        <v>61</v>
      </c>
    </row>
    <row r="486" spans="1:21" ht="13.8" x14ac:dyDescent="0.3">
      <c r="A486" s="530" t="str">
        <f t="shared" si="14"/>
        <v>North Wales.2020.Visitor Days.Non-Serviced Accommodation</v>
      </c>
      <c r="B486" s="530" t="s">
        <v>220</v>
      </c>
      <c r="C486" s="530" t="str">
        <f t="shared" si="15"/>
        <v>2020.Visitor Days.Non-Serviced Accommodation</v>
      </c>
      <c r="D486" s="530" t="s">
        <v>246</v>
      </c>
      <c r="E486" s="530" t="s">
        <v>171</v>
      </c>
      <c r="F486" s="530" t="s">
        <v>48</v>
      </c>
      <c r="G486" s="530" t="s">
        <v>48</v>
      </c>
      <c r="H486" s="530">
        <v>740.29448396165117</v>
      </c>
      <c r="I486" s="530">
        <v>933.10158984365717</v>
      </c>
      <c r="J486" s="530">
        <v>2249.319200927614</v>
      </c>
      <c r="K486" s="530">
        <v>0</v>
      </c>
      <c r="L486" s="530">
        <v>0</v>
      </c>
      <c r="M486" s="530">
        <v>0</v>
      </c>
      <c r="N486" s="530">
        <v>1520.4426125004184</v>
      </c>
      <c r="O486" s="530">
        <v>4434.6534452107389</v>
      </c>
      <c r="P486" s="530">
        <v>4077.5282186269051</v>
      </c>
      <c r="Q486" s="530">
        <v>1048.4182171784857</v>
      </c>
      <c r="R486" s="530">
        <v>337.21009087558912</v>
      </c>
      <c r="S486" s="530">
        <v>208.08985157241949</v>
      </c>
      <c r="T486" s="530">
        <v>15549.05771069748</v>
      </c>
      <c r="U486" s="530" t="s">
        <v>61</v>
      </c>
    </row>
    <row r="487" spans="1:21" ht="13.8" x14ac:dyDescent="0.3">
      <c r="A487" s="530" t="str">
        <f t="shared" si="14"/>
        <v>North Wales.2020.Visitor Days.SFR</v>
      </c>
      <c r="B487" s="530" t="s">
        <v>220</v>
      </c>
      <c r="C487" s="530" t="str">
        <f t="shared" si="15"/>
        <v>2020.Visitor Days.SFR</v>
      </c>
      <c r="D487" s="530" t="s">
        <v>246</v>
      </c>
      <c r="E487" s="530" t="s">
        <v>171</v>
      </c>
      <c r="F487" s="530" t="s">
        <v>18</v>
      </c>
      <c r="G487" s="530" t="s">
        <v>18</v>
      </c>
      <c r="H487" s="530">
        <v>357.72903409090907</v>
      </c>
      <c r="I487" s="530">
        <v>120.19695545454545</v>
      </c>
      <c r="J487" s="530">
        <v>74.874435732727278</v>
      </c>
      <c r="K487" s="530">
        <v>0</v>
      </c>
      <c r="L487" s="530">
        <v>0</v>
      </c>
      <c r="M487" s="530">
        <v>0</v>
      </c>
      <c r="N487" s="530">
        <v>26.233462499999998</v>
      </c>
      <c r="O487" s="530">
        <v>27.770584411818181</v>
      </c>
      <c r="P487" s="530">
        <v>0</v>
      </c>
      <c r="Q487" s="530">
        <v>0</v>
      </c>
      <c r="R487" s="530">
        <v>0</v>
      </c>
      <c r="S487" s="530">
        <v>0</v>
      </c>
      <c r="T487" s="530">
        <v>606.80447218999996</v>
      </c>
      <c r="U487" s="530" t="s">
        <v>61</v>
      </c>
    </row>
    <row r="488" spans="1:21" ht="13.8" x14ac:dyDescent="0.3">
      <c r="A488" s="530" t="str">
        <f t="shared" si="14"/>
        <v>North Wales.2020.Visitor Days.Day Visitor</v>
      </c>
      <c r="B488" s="530" t="s">
        <v>220</v>
      </c>
      <c r="C488" s="530" t="str">
        <f t="shared" si="15"/>
        <v>2020.Visitor Days.Day Visitor</v>
      </c>
      <c r="D488" s="530" t="s">
        <v>246</v>
      </c>
      <c r="E488" s="530" t="s">
        <v>171</v>
      </c>
      <c r="F488" s="530" t="s">
        <v>71</v>
      </c>
      <c r="G488" s="530" t="s">
        <v>71</v>
      </c>
      <c r="H488" s="530">
        <v>538.38708242572693</v>
      </c>
      <c r="I488" s="530">
        <v>847.40611097146348</v>
      </c>
      <c r="J488" s="530">
        <v>976.0353673223683</v>
      </c>
      <c r="K488" s="530">
        <v>39.191412240006571</v>
      </c>
      <c r="L488" s="530">
        <v>46.658650771318307</v>
      </c>
      <c r="M488" s="530">
        <v>63.170418418132556</v>
      </c>
      <c r="N488" s="530">
        <v>1093.0039687359313</v>
      </c>
      <c r="O488" s="530">
        <v>2347.3783959394568</v>
      </c>
      <c r="P488" s="530">
        <v>1439.0044142667202</v>
      </c>
      <c r="Q488" s="530">
        <v>189.00369600503865</v>
      </c>
      <c r="R488" s="530">
        <v>377.37350529816729</v>
      </c>
      <c r="S488" s="530">
        <v>269.96805027780874</v>
      </c>
      <c r="T488" s="530">
        <v>8226.5810726721393</v>
      </c>
      <c r="U488" s="530" t="s">
        <v>61</v>
      </c>
    </row>
    <row r="489" spans="1:21" ht="13.8" x14ac:dyDescent="0.3">
      <c r="A489" s="530" t="str">
        <f t="shared" si="14"/>
        <v>North Wales.2020.Visitor Days.Total</v>
      </c>
      <c r="B489" s="530" t="s">
        <v>220</v>
      </c>
      <c r="C489" s="530" t="str">
        <f t="shared" si="15"/>
        <v>2020.Visitor Days.Total</v>
      </c>
      <c r="D489" s="530" t="s">
        <v>246</v>
      </c>
      <c r="E489" s="530" t="s">
        <v>171</v>
      </c>
      <c r="F489" s="530" t="s">
        <v>54</v>
      </c>
      <c r="G489" s="530" t="s">
        <v>54</v>
      </c>
      <c r="H489" s="530">
        <v>1907.7307885162049</v>
      </c>
      <c r="I489" s="530">
        <v>2188.0909783660995</v>
      </c>
      <c r="J489" s="530">
        <v>3462.3301616747922</v>
      </c>
      <c r="K489" s="530">
        <v>39.191412240006571</v>
      </c>
      <c r="L489" s="530">
        <v>46.658650771318307</v>
      </c>
      <c r="M489" s="530">
        <v>63.170418418132556</v>
      </c>
      <c r="N489" s="530">
        <v>2657.2549526677026</v>
      </c>
      <c r="O489" s="530">
        <v>7214.5853024270828</v>
      </c>
      <c r="P489" s="530">
        <v>5854.3895534437752</v>
      </c>
      <c r="Q489" s="530">
        <v>1265.0088121689168</v>
      </c>
      <c r="R489" s="530">
        <v>811.33528858006218</v>
      </c>
      <c r="S489" s="530">
        <v>504.49326695780854</v>
      </c>
      <c r="T489" s="530">
        <v>26014.239586231906</v>
      </c>
      <c r="U489" s="530" t="s">
        <v>61</v>
      </c>
    </row>
    <row r="490" spans="1:21" ht="13.8" x14ac:dyDescent="0.3">
      <c r="A490" s="530" t="str">
        <f t="shared" si="14"/>
        <v>North Wales.2020.Visitor Numbers.Serviced Accommodation</v>
      </c>
      <c r="B490" s="530" t="s">
        <v>220</v>
      </c>
      <c r="C490" s="530" t="str">
        <f t="shared" si="15"/>
        <v>2020.Visitor Numbers.Serviced Accommodation</v>
      </c>
      <c r="D490" s="530" t="s">
        <v>246</v>
      </c>
      <c r="E490" s="530" t="s">
        <v>172</v>
      </c>
      <c r="F490" s="530" t="s">
        <v>43</v>
      </c>
      <c r="G490" s="530" t="s">
        <v>43</v>
      </c>
      <c r="H490" s="530">
        <v>176.81569264676659</v>
      </c>
      <c r="I490" s="530">
        <v>191.47260558269727</v>
      </c>
      <c r="J490" s="530">
        <v>78.784770579646377</v>
      </c>
      <c r="K490" s="530">
        <v>0</v>
      </c>
      <c r="L490" s="530">
        <v>0</v>
      </c>
      <c r="M490" s="530">
        <v>0</v>
      </c>
      <c r="N490" s="530">
        <v>10.065301929886683</v>
      </c>
      <c r="O490" s="530">
        <v>230.98938326564576</v>
      </c>
      <c r="P490" s="530">
        <v>172.01017191686412</v>
      </c>
      <c r="Q490" s="530">
        <v>15.822596757392333</v>
      </c>
      <c r="R490" s="530">
        <v>56.281650497206599</v>
      </c>
      <c r="S490" s="530">
        <v>16.133546552567463</v>
      </c>
      <c r="T490" s="530">
        <v>948.37571972867318</v>
      </c>
      <c r="U490" s="530" t="s">
        <v>61</v>
      </c>
    </row>
    <row r="491" spans="1:21" ht="13.8" x14ac:dyDescent="0.3">
      <c r="A491" s="530" t="str">
        <f t="shared" si="14"/>
        <v>North Wales.2020.Visitor Numbers.Non-Serviced Accommodation</v>
      </c>
      <c r="B491" s="530" t="s">
        <v>220</v>
      </c>
      <c r="C491" s="530" t="str">
        <f t="shared" si="15"/>
        <v>2020.Visitor Numbers.Non-Serviced Accommodation</v>
      </c>
      <c r="D491" s="530" t="s">
        <v>246</v>
      </c>
      <c r="E491" s="530" t="s">
        <v>172</v>
      </c>
      <c r="F491" s="530" t="s">
        <v>48</v>
      </c>
      <c r="G491" s="530" t="s">
        <v>48</v>
      </c>
      <c r="H491" s="530">
        <v>217.14318945548905</v>
      </c>
      <c r="I491" s="530">
        <v>234.0454197451175</v>
      </c>
      <c r="J491" s="530">
        <v>474.60511425579551</v>
      </c>
      <c r="K491" s="530">
        <v>0</v>
      </c>
      <c r="L491" s="530">
        <v>0</v>
      </c>
      <c r="M491" s="530">
        <v>0</v>
      </c>
      <c r="N491" s="530">
        <v>227.87121302506779</v>
      </c>
      <c r="O491" s="530">
        <v>601.41372142537966</v>
      </c>
      <c r="P491" s="530">
        <v>622.43475819336913</v>
      </c>
      <c r="Q491" s="530">
        <v>165.16514500844448</v>
      </c>
      <c r="R491" s="530">
        <v>76.032427538752984</v>
      </c>
      <c r="S491" s="530">
        <v>38.392368439163945</v>
      </c>
      <c r="T491" s="530">
        <v>2657.1033570865802</v>
      </c>
      <c r="U491" s="530" t="s">
        <v>61</v>
      </c>
    </row>
    <row r="492" spans="1:21" ht="13.8" x14ac:dyDescent="0.3">
      <c r="A492" s="530" t="str">
        <f t="shared" si="14"/>
        <v>North Wales.2020.Visitor Numbers.SFR</v>
      </c>
      <c r="B492" s="530" t="s">
        <v>220</v>
      </c>
      <c r="C492" s="530" t="str">
        <f t="shared" si="15"/>
        <v>2020.Visitor Numbers.SFR</v>
      </c>
      <c r="D492" s="530" t="s">
        <v>246</v>
      </c>
      <c r="E492" s="530" t="s">
        <v>172</v>
      </c>
      <c r="F492" s="530" t="s">
        <v>18</v>
      </c>
      <c r="G492" s="530" t="s">
        <v>18</v>
      </c>
      <c r="H492" s="530">
        <v>143.0916136363636</v>
      </c>
      <c r="I492" s="530">
        <v>57.236645454545446</v>
      </c>
      <c r="J492" s="530">
        <v>47.061241818181827</v>
      </c>
      <c r="K492" s="530">
        <v>0</v>
      </c>
      <c r="L492" s="530">
        <v>0</v>
      </c>
      <c r="M492" s="530">
        <v>0</v>
      </c>
      <c r="N492" s="530">
        <v>10.493385</v>
      </c>
      <c r="O492" s="530">
        <v>10.680994004545454</v>
      </c>
      <c r="P492" s="530">
        <v>0</v>
      </c>
      <c r="Q492" s="530">
        <v>0</v>
      </c>
      <c r="R492" s="530">
        <v>0</v>
      </c>
      <c r="S492" s="530">
        <v>0</v>
      </c>
      <c r="T492" s="530">
        <v>268.56387991363636</v>
      </c>
      <c r="U492" s="530" t="s">
        <v>61</v>
      </c>
    </row>
    <row r="493" spans="1:21" ht="13.8" x14ac:dyDescent="0.3">
      <c r="A493" s="530" t="str">
        <f t="shared" si="14"/>
        <v>North Wales.2020.Visitor Numbers.Day Visitor</v>
      </c>
      <c r="B493" s="530" t="s">
        <v>220</v>
      </c>
      <c r="C493" s="530" t="str">
        <f t="shared" si="15"/>
        <v>2020.Visitor Numbers.Day Visitor</v>
      </c>
      <c r="D493" s="530" t="s">
        <v>246</v>
      </c>
      <c r="E493" s="530" t="s">
        <v>172</v>
      </c>
      <c r="F493" s="530" t="s">
        <v>71</v>
      </c>
      <c r="G493" s="530" t="s">
        <v>71</v>
      </c>
      <c r="H493" s="530">
        <v>538.38708242572693</v>
      </c>
      <c r="I493" s="530">
        <v>847.40611097146348</v>
      </c>
      <c r="J493" s="530">
        <v>976.0353673223683</v>
      </c>
      <c r="K493" s="530">
        <v>39.191412240006571</v>
      </c>
      <c r="L493" s="530">
        <v>46.658650771318307</v>
      </c>
      <c r="M493" s="530">
        <v>63.170418418132556</v>
      </c>
      <c r="N493" s="530">
        <v>1093.0039687359313</v>
      </c>
      <c r="O493" s="530">
        <v>2347.3783959394568</v>
      </c>
      <c r="P493" s="530">
        <v>1439.0044142667202</v>
      </c>
      <c r="Q493" s="530">
        <v>189.00369600503865</v>
      </c>
      <c r="R493" s="530">
        <v>377.37350529816729</v>
      </c>
      <c r="S493" s="530">
        <v>269.96805027780874</v>
      </c>
      <c r="T493" s="530">
        <v>8226.5810726721393</v>
      </c>
      <c r="U493" s="530" t="s">
        <v>61</v>
      </c>
    </row>
    <row r="494" spans="1:21" ht="13.8" x14ac:dyDescent="0.3">
      <c r="A494" s="530" t="str">
        <f t="shared" si="14"/>
        <v>North Wales.2020.Visitor Numbers.Total</v>
      </c>
      <c r="B494" s="530" t="s">
        <v>220</v>
      </c>
      <c r="C494" s="530" t="str">
        <f t="shared" si="15"/>
        <v>2020.Visitor Numbers.Total</v>
      </c>
      <c r="D494" s="530" t="s">
        <v>246</v>
      </c>
      <c r="E494" s="530" t="s">
        <v>172</v>
      </c>
      <c r="F494" s="530" t="s">
        <v>54</v>
      </c>
      <c r="G494" s="530" t="s">
        <v>54</v>
      </c>
      <c r="H494" s="530">
        <v>1075.4375781643462</v>
      </c>
      <c r="I494" s="530">
        <v>1330.1607817538238</v>
      </c>
      <c r="J494" s="530">
        <v>1576.4864939759921</v>
      </c>
      <c r="K494" s="530">
        <v>39.191412240006571</v>
      </c>
      <c r="L494" s="530">
        <v>46.658650771318307</v>
      </c>
      <c r="M494" s="530">
        <v>63.170418418132556</v>
      </c>
      <c r="N494" s="530">
        <v>1341.4338686908857</v>
      </c>
      <c r="O494" s="530">
        <v>3190.4624946350277</v>
      </c>
      <c r="P494" s="530">
        <v>2233.4493443769534</v>
      </c>
      <c r="Q494" s="530">
        <v>369.99143777087545</v>
      </c>
      <c r="R494" s="530">
        <v>509.68758333412688</v>
      </c>
      <c r="S494" s="530">
        <v>324.49396526954013</v>
      </c>
      <c r="T494" s="530">
        <v>12100.624029401028</v>
      </c>
      <c r="U494" s="530" t="s">
        <v>61</v>
      </c>
    </row>
    <row r="495" spans="1:21" ht="13.8" x14ac:dyDescent="0.3">
      <c r="A495" s="530" t="str">
        <f t="shared" si="14"/>
        <v>North Wales.2020.Vehicle Days.Serviced Accommodation</v>
      </c>
      <c r="B495" s="530" t="s">
        <v>220</v>
      </c>
      <c r="C495" s="530" t="str">
        <f t="shared" si="15"/>
        <v>2020.Vehicle Days.Serviced Accommodation</v>
      </c>
      <c r="D495" s="530" t="s">
        <v>246</v>
      </c>
      <c r="E495" s="530" t="s">
        <v>21</v>
      </c>
      <c r="F495" s="530" t="s">
        <v>43</v>
      </c>
      <c r="G495" s="530" t="s">
        <v>43</v>
      </c>
      <c r="H495" s="530">
        <v>70.505838496377649</v>
      </c>
      <c r="I495" s="530">
        <v>98.981990615546806</v>
      </c>
      <c r="J495" s="530">
        <v>58.84727116515765</v>
      </c>
      <c r="K495" s="530">
        <v>0</v>
      </c>
      <c r="L495" s="530">
        <v>0</v>
      </c>
      <c r="M495" s="530">
        <v>0</v>
      </c>
      <c r="N495" s="530">
        <v>4.6136878840052598</v>
      </c>
      <c r="O495" s="530">
        <v>106.30076043480315</v>
      </c>
      <c r="P495" s="530">
        <v>88.799362206788913</v>
      </c>
      <c r="Q495" s="530">
        <v>8.0278216498508179</v>
      </c>
      <c r="R495" s="530">
        <v>30.17751427478197</v>
      </c>
      <c r="S495" s="530">
        <v>6.9712252705149425</v>
      </c>
      <c r="T495" s="530">
        <v>473.22547199782713</v>
      </c>
      <c r="U495" s="530" t="s">
        <v>61</v>
      </c>
    </row>
    <row r="496" spans="1:21" ht="13.8" x14ac:dyDescent="0.3">
      <c r="A496" s="530" t="str">
        <f t="shared" si="14"/>
        <v>North Wales.2020.Vehicle Days.Non-Serviced Accommodation</v>
      </c>
      <c r="B496" s="530" t="s">
        <v>220</v>
      </c>
      <c r="C496" s="530" t="str">
        <f t="shared" si="15"/>
        <v>2020.Vehicle Days.Non-Serviced Accommodation</v>
      </c>
      <c r="D496" s="530" t="s">
        <v>246</v>
      </c>
      <c r="E496" s="530" t="s">
        <v>21</v>
      </c>
      <c r="F496" s="530" t="s">
        <v>48</v>
      </c>
      <c r="G496" s="530" t="s">
        <v>48</v>
      </c>
      <c r="H496" s="530">
        <v>193.58063022841662</v>
      </c>
      <c r="I496" s="530">
        <v>285.07349498760431</v>
      </c>
      <c r="J496" s="530">
        <v>619.28590626315349</v>
      </c>
      <c r="K496" s="530">
        <v>0</v>
      </c>
      <c r="L496" s="530">
        <v>0</v>
      </c>
      <c r="M496" s="530">
        <v>0</v>
      </c>
      <c r="N496" s="530">
        <v>366.16149077200737</v>
      </c>
      <c r="O496" s="530">
        <v>1084.1963388519334</v>
      </c>
      <c r="P496" s="530">
        <v>1069.0370416220403</v>
      </c>
      <c r="Q496" s="530">
        <v>265.98308231219551</v>
      </c>
      <c r="R496" s="530">
        <v>95.126149512795024</v>
      </c>
      <c r="S496" s="530">
        <v>47.397689948614065</v>
      </c>
      <c r="T496" s="530">
        <v>4025.8418244987606</v>
      </c>
      <c r="U496" s="530" t="s">
        <v>61</v>
      </c>
    </row>
    <row r="497" spans="1:21" ht="13.8" x14ac:dyDescent="0.3">
      <c r="A497" s="530" t="str">
        <f t="shared" si="14"/>
        <v>North Wales.2020.Vehicle Days.SFR</v>
      </c>
      <c r="B497" s="530" t="s">
        <v>220</v>
      </c>
      <c r="C497" s="530" t="str">
        <f t="shared" si="15"/>
        <v>2020.Vehicle Days.SFR</v>
      </c>
      <c r="D497" s="530" t="s">
        <v>246</v>
      </c>
      <c r="E497" s="530" t="s">
        <v>21</v>
      </c>
      <c r="F497" s="530" t="s">
        <v>18</v>
      </c>
      <c r="G497" s="530" t="s">
        <v>18</v>
      </c>
      <c r="H497" s="530">
        <v>110.10560284090909</v>
      </c>
      <c r="I497" s="530">
        <v>36.995482554545447</v>
      </c>
      <c r="J497" s="530">
        <v>23.045640968660607</v>
      </c>
      <c r="K497" s="530">
        <v>0</v>
      </c>
      <c r="L497" s="530">
        <v>0</v>
      </c>
      <c r="M497" s="530">
        <v>0</v>
      </c>
      <c r="N497" s="530">
        <v>8.0744108749999999</v>
      </c>
      <c r="O497" s="530">
        <v>8.5475224164515158</v>
      </c>
      <c r="P497" s="530">
        <v>0</v>
      </c>
      <c r="Q497" s="530">
        <v>0</v>
      </c>
      <c r="R497" s="530">
        <v>0</v>
      </c>
      <c r="S497" s="530">
        <v>0</v>
      </c>
      <c r="T497" s="530">
        <v>186.76865965556667</v>
      </c>
      <c r="U497" s="530" t="s">
        <v>61</v>
      </c>
    </row>
    <row r="498" spans="1:21" ht="13.8" x14ac:dyDescent="0.3">
      <c r="A498" s="530" t="str">
        <f t="shared" si="14"/>
        <v>North Wales.2020.Vehicle Days.Day Visitor</v>
      </c>
      <c r="B498" s="530" t="s">
        <v>220</v>
      </c>
      <c r="C498" s="530" t="str">
        <f t="shared" si="15"/>
        <v>2020.Vehicle Days.Day Visitor</v>
      </c>
      <c r="D498" s="530" t="s">
        <v>246</v>
      </c>
      <c r="E498" s="530" t="s">
        <v>21</v>
      </c>
      <c r="F498" s="530" t="s">
        <v>71</v>
      </c>
      <c r="G498" s="530" t="s">
        <v>71</v>
      </c>
      <c r="H498" s="530">
        <v>118.44515813365994</v>
      </c>
      <c r="I498" s="530">
        <v>213.06210790139653</v>
      </c>
      <c r="J498" s="530">
        <v>245.40317806962403</v>
      </c>
      <c r="K498" s="530">
        <v>8.6221106928014475</v>
      </c>
      <c r="L498" s="530">
        <v>10.264903169690028</v>
      </c>
      <c r="M498" s="530">
        <v>15.882848059416183</v>
      </c>
      <c r="N498" s="530">
        <v>240.46087312190491</v>
      </c>
      <c r="O498" s="530">
        <v>516.42324710668049</v>
      </c>
      <c r="P498" s="530">
        <v>316.58097113867848</v>
      </c>
      <c r="Q498" s="530">
        <v>47.520929281266866</v>
      </c>
      <c r="R498" s="530">
        <v>94.882481332110615</v>
      </c>
      <c r="S498" s="530">
        <v>59.392971061117919</v>
      </c>
      <c r="T498" s="530">
        <v>1886.9417790683474</v>
      </c>
      <c r="U498" s="530" t="s">
        <v>61</v>
      </c>
    </row>
    <row r="499" spans="1:21" ht="13.8" x14ac:dyDescent="0.3">
      <c r="A499" s="530" t="str">
        <f t="shared" si="14"/>
        <v>North Wales.2020.Vehicle Days.Total</v>
      </c>
      <c r="B499" s="530" t="s">
        <v>220</v>
      </c>
      <c r="C499" s="530" t="str">
        <f t="shared" si="15"/>
        <v>2020.Vehicle Days.Total</v>
      </c>
      <c r="D499" s="530" t="s">
        <v>246</v>
      </c>
      <c r="E499" s="530" t="s">
        <v>21</v>
      </c>
      <c r="F499" s="530" t="s">
        <v>54</v>
      </c>
      <c r="G499" s="530" t="s">
        <v>54</v>
      </c>
      <c r="H499" s="530">
        <v>492.63722969936333</v>
      </c>
      <c r="I499" s="530">
        <v>634.11307605909315</v>
      </c>
      <c r="J499" s="530">
        <v>946.58199646659568</v>
      </c>
      <c r="K499" s="530">
        <v>8.6221106928014475</v>
      </c>
      <c r="L499" s="530">
        <v>10.264903169690028</v>
      </c>
      <c r="M499" s="530">
        <v>15.882848059416183</v>
      </c>
      <c r="N499" s="530">
        <v>619.31046265291752</v>
      </c>
      <c r="O499" s="530">
        <v>1715.4678688098686</v>
      </c>
      <c r="P499" s="530">
        <v>1474.4173749675076</v>
      </c>
      <c r="Q499" s="530">
        <v>321.5318332433132</v>
      </c>
      <c r="R499" s="530">
        <v>220.18614511968761</v>
      </c>
      <c r="S499" s="530">
        <v>113.76188628024693</v>
      </c>
      <c r="T499" s="530">
        <v>6572.7777352205012</v>
      </c>
      <c r="U499" s="530" t="s">
        <v>61</v>
      </c>
    </row>
    <row r="500" spans="1:21" ht="13.8" x14ac:dyDescent="0.3">
      <c r="A500" s="530" t="str">
        <f t="shared" si="14"/>
        <v>North Wales.2020.Vehicle Numbers.Serviced Accommodation</v>
      </c>
      <c r="B500" s="530" t="s">
        <v>220</v>
      </c>
      <c r="C500" s="530" t="str">
        <f t="shared" si="15"/>
        <v>2020.Vehicle Numbers.Serviced Accommodation</v>
      </c>
      <c r="D500" s="530" t="s">
        <v>246</v>
      </c>
      <c r="E500" s="530" t="s">
        <v>22</v>
      </c>
      <c r="F500" s="530" t="s">
        <v>43</v>
      </c>
      <c r="G500" s="530" t="s">
        <v>43</v>
      </c>
      <c r="H500" s="530">
        <v>45.842899676890724</v>
      </c>
      <c r="I500" s="530">
        <v>65.982991161925824</v>
      </c>
      <c r="J500" s="530">
        <v>28.593411208947707</v>
      </c>
      <c r="K500" s="530">
        <v>0</v>
      </c>
      <c r="L500" s="530">
        <v>0</v>
      </c>
      <c r="M500" s="530">
        <v>0</v>
      </c>
      <c r="N500" s="530">
        <v>2.643848175319409</v>
      </c>
      <c r="O500" s="530">
        <v>60.751937696469554</v>
      </c>
      <c r="P500" s="530">
        <v>45.229520573091563</v>
      </c>
      <c r="Q500" s="530">
        <v>4.6150475322713245</v>
      </c>
      <c r="R500" s="530">
        <v>17.317792217191833</v>
      </c>
      <c r="S500" s="530">
        <v>4.2596117477563054</v>
      </c>
      <c r="T500" s="530">
        <v>275.23705998986424</v>
      </c>
      <c r="U500" s="530" t="s">
        <v>61</v>
      </c>
    </row>
    <row r="501" spans="1:21" ht="13.8" x14ac:dyDescent="0.3">
      <c r="A501" s="530" t="str">
        <f t="shared" si="14"/>
        <v>North Wales.2020.Vehicle Numbers.Non-Serviced Accommodation</v>
      </c>
      <c r="B501" s="530" t="s">
        <v>220</v>
      </c>
      <c r="C501" s="530" t="str">
        <f t="shared" si="15"/>
        <v>2020.Vehicle Numbers.Non-Serviced Accommodation</v>
      </c>
      <c r="D501" s="530" t="s">
        <v>246</v>
      </c>
      <c r="E501" s="530" t="s">
        <v>22</v>
      </c>
      <c r="F501" s="530" t="s">
        <v>48</v>
      </c>
      <c r="G501" s="530" t="s">
        <v>48</v>
      </c>
      <c r="H501" s="530">
        <v>56.779813195259585</v>
      </c>
      <c r="I501" s="530">
        <v>71.52886502779711</v>
      </c>
      <c r="J501" s="530">
        <v>130.71703574902341</v>
      </c>
      <c r="K501" s="530">
        <v>0</v>
      </c>
      <c r="L501" s="530">
        <v>0</v>
      </c>
      <c r="M501" s="530">
        <v>0</v>
      </c>
      <c r="N501" s="530">
        <v>54.77021380867393</v>
      </c>
      <c r="O501" s="530">
        <v>146.55223135195479</v>
      </c>
      <c r="P501" s="530">
        <v>163.95999836154726</v>
      </c>
      <c r="Q501" s="530">
        <v>41.964120278740559</v>
      </c>
      <c r="R501" s="530">
        <v>21.421736741175092</v>
      </c>
      <c r="S501" s="530">
        <v>8.7077583432241852</v>
      </c>
      <c r="T501" s="530">
        <v>696.40177285739594</v>
      </c>
      <c r="U501" s="530" t="s">
        <v>61</v>
      </c>
    </row>
    <row r="502" spans="1:21" ht="13.8" x14ac:dyDescent="0.3">
      <c r="A502" s="530" t="str">
        <f t="shared" si="14"/>
        <v>North Wales.2020.Vehicle Numbers.SFR</v>
      </c>
      <c r="B502" s="530" t="s">
        <v>220</v>
      </c>
      <c r="C502" s="530" t="str">
        <f t="shared" si="15"/>
        <v>2020.Vehicle Numbers.SFR</v>
      </c>
      <c r="D502" s="530" t="s">
        <v>246</v>
      </c>
      <c r="E502" s="530" t="s">
        <v>22</v>
      </c>
      <c r="F502" s="530" t="s">
        <v>18</v>
      </c>
      <c r="G502" s="530" t="s">
        <v>18</v>
      </c>
      <c r="H502" s="530">
        <v>44.042241136363629</v>
      </c>
      <c r="I502" s="530">
        <v>17.616896454545454</v>
      </c>
      <c r="J502" s="530">
        <v>14.485003751515153</v>
      </c>
      <c r="K502" s="530">
        <v>0</v>
      </c>
      <c r="L502" s="530">
        <v>0</v>
      </c>
      <c r="M502" s="530">
        <v>0</v>
      </c>
      <c r="N502" s="530">
        <v>3.22976435</v>
      </c>
      <c r="O502" s="530">
        <v>3.2875086217121212</v>
      </c>
      <c r="P502" s="530">
        <v>0</v>
      </c>
      <c r="Q502" s="530">
        <v>0</v>
      </c>
      <c r="R502" s="530">
        <v>0</v>
      </c>
      <c r="S502" s="530">
        <v>0</v>
      </c>
      <c r="T502" s="530">
        <v>82.661414314136351</v>
      </c>
      <c r="U502" s="530" t="s">
        <v>61</v>
      </c>
    </row>
    <row r="503" spans="1:21" ht="13.8" x14ac:dyDescent="0.3">
      <c r="A503" s="530" t="str">
        <f t="shared" si="14"/>
        <v>North Wales.2020.Vehicle Numbers.Day Visitor</v>
      </c>
      <c r="B503" s="530" t="s">
        <v>220</v>
      </c>
      <c r="C503" s="530" t="str">
        <f t="shared" si="15"/>
        <v>2020.Vehicle Numbers.Day Visitor</v>
      </c>
      <c r="D503" s="530" t="s">
        <v>246</v>
      </c>
      <c r="E503" s="530" t="s">
        <v>22</v>
      </c>
      <c r="F503" s="530" t="s">
        <v>71</v>
      </c>
      <c r="G503" s="530" t="s">
        <v>71</v>
      </c>
      <c r="H503" s="530">
        <v>118.44515813365994</v>
      </c>
      <c r="I503" s="530">
        <v>213.06210790139653</v>
      </c>
      <c r="J503" s="530">
        <v>245.40317806962403</v>
      </c>
      <c r="K503" s="530">
        <v>8.6221106928014475</v>
      </c>
      <c r="L503" s="530">
        <v>10.264903169690028</v>
      </c>
      <c r="M503" s="530">
        <v>15.882848059416183</v>
      </c>
      <c r="N503" s="530">
        <v>240.46087312190491</v>
      </c>
      <c r="O503" s="530">
        <v>516.42324710668049</v>
      </c>
      <c r="P503" s="530">
        <v>316.58097113867848</v>
      </c>
      <c r="Q503" s="530">
        <v>47.520929281266866</v>
      </c>
      <c r="R503" s="530">
        <v>94.882481332110615</v>
      </c>
      <c r="S503" s="530">
        <v>59.392971061117919</v>
      </c>
      <c r="T503" s="530">
        <v>1886.9417790683474</v>
      </c>
      <c r="U503" s="530" t="s">
        <v>61</v>
      </c>
    </row>
    <row r="504" spans="1:21" ht="13.8" x14ac:dyDescent="0.3">
      <c r="A504" s="530" t="str">
        <f t="shared" si="14"/>
        <v>North Wales.2020.Vehicle Numbers.Total</v>
      </c>
      <c r="B504" s="530" t="s">
        <v>220</v>
      </c>
      <c r="C504" s="530" t="str">
        <f t="shared" si="15"/>
        <v>2020.Vehicle Numbers.Total</v>
      </c>
      <c r="D504" s="530" t="s">
        <v>246</v>
      </c>
      <c r="E504" s="530" t="s">
        <v>22</v>
      </c>
      <c r="F504" s="530" t="s">
        <v>54</v>
      </c>
      <c r="G504" s="530" t="s">
        <v>54</v>
      </c>
      <c r="H504" s="530">
        <v>265.11011214217388</v>
      </c>
      <c r="I504" s="530">
        <v>368.19086054566492</v>
      </c>
      <c r="J504" s="530">
        <v>419.19862877911032</v>
      </c>
      <c r="K504" s="530">
        <v>8.6221106928014475</v>
      </c>
      <c r="L504" s="530">
        <v>10.264903169690028</v>
      </c>
      <c r="M504" s="530">
        <v>15.882848059416183</v>
      </c>
      <c r="N504" s="530">
        <v>301.10469945589824</v>
      </c>
      <c r="O504" s="530">
        <v>727.014924776817</v>
      </c>
      <c r="P504" s="530">
        <v>525.77049007331732</v>
      </c>
      <c r="Q504" s="530">
        <v>94.100097092278759</v>
      </c>
      <c r="R504" s="530">
        <v>133.62201029047753</v>
      </c>
      <c r="S504" s="530">
        <v>72.360341152098414</v>
      </c>
      <c r="T504" s="530">
        <v>2941.2420262297442</v>
      </c>
      <c r="U504" s="530" t="s">
        <v>61</v>
      </c>
    </row>
    <row r="505" spans="1:21" ht="13.8" x14ac:dyDescent="0.3">
      <c r="A505" s="530" t="str">
        <f t="shared" si="14"/>
        <v>North Wales.2020.Accommodation.Serviced Accommodation</v>
      </c>
      <c r="B505" s="530" t="s">
        <v>220</v>
      </c>
      <c r="C505" s="530" t="str">
        <f t="shared" si="15"/>
        <v>2020.Accommodation.Serviced Accommodation</v>
      </c>
      <c r="D505" s="530" t="s">
        <v>246</v>
      </c>
      <c r="E505" s="530" t="s">
        <v>23</v>
      </c>
      <c r="F505" s="530" t="s">
        <v>43</v>
      </c>
      <c r="G505" s="530" t="s">
        <v>43</v>
      </c>
      <c r="H505" s="530">
        <v>22825</v>
      </c>
      <c r="I505" s="530">
        <v>23728</v>
      </c>
      <c r="J505" s="530">
        <v>18257.280000000002</v>
      </c>
      <c r="K505" s="530">
        <v>0</v>
      </c>
      <c r="L505" s="530">
        <v>0</v>
      </c>
      <c r="M505" s="530">
        <v>0</v>
      </c>
      <c r="N505" s="530">
        <v>2101.3536960000001</v>
      </c>
      <c r="O505" s="530">
        <v>17445.940200000001</v>
      </c>
      <c r="P505" s="530">
        <v>18292.797000000002</v>
      </c>
      <c r="Q505" s="530">
        <v>4417.3653096774196</v>
      </c>
      <c r="R505" s="530">
        <v>10804.4118</v>
      </c>
      <c r="S505" s="530">
        <v>8009.0564400000021</v>
      </c>
      <c r="T505" s="530">
        <v>23728</v>
      </c>
      <c r="U505" s="530" t="s">
        <v>58</v>
      </c>
    </row>
    <row r="506" spans="1:21" ht="13.8" x14ac:dyDescent="0.3">
      <c r="A506" s="530" t="str">
        <f t="shared" si="14"/>
        <v>North Wales.2020.Accommodation.Non-Serviced Accommodation</v>
      </c>
      <c r="B506" s="530" t="s">
        <v>220</v>
      </c>
      <c r="C506" s="530" t="str">
        <f t="shared" si="15"/>
        <v>2020.Accommodation.Non-Serviced Accommodation</v>
      </c>
      <c r="D506" s="530" t="s">
        <v>246</v>
      </c>
      <c r="E506" s="530" t="s">
        <v>23</v>
      </c>
      <c r="F506" s="530" t="s">
        <v>48</v>
      </c>
      <c r="G506" s="530" t="s">
        <v>48</v>
      </c>
      <c r="H506" s="530">
        <v>79506.116574908287</v>
      </c>
      <c r="I506" s="530">
        <v>80954.392651852919</v>
      </c>
      <c r="J506" s="530">
        <v>157663.15520272317</v>
      </c>
      <c r="K506" s="530">
        <v>0</v>
      </c>
      <c r="L506" s="530">
        <v>0</v>
      </c>
      <c r="M506" s="530">
        <v>0</v>
      </c>
      <c r="N506" s="530">
        <v>97679.877756529982</v>
      </c>
      <c r="O506" s="530">
        <v>168953.91220102052</v>
      </c>
      <c r="P506" s="530">
        <v>191032.11206186158</v>
      </c>
      <c r="Q506" s="530">
        <v>66444.748952679496</v>
      </c>
      <c r="R506" s="530">
        <v>58090.999866454811</v>
      </c>
      <c r="S506" s="530">
        <v>33387.45084974925</v>
      </c>
      <c r="T506" s="530">
        <v>191032.11206186158</v>
      </c>
      <c r="U506" s="530" t="s">
        <v>58</v>
      </c>
    </row>
    <row r="507" spans="1:21" ht="13.8" x14ac:dyDescent="0.3">
      <c r="A507" s="530" t="str">
        <f t="shared" si="14"/>
        <v>North Wales.2020.Accommodation.Total</v>
      </c>
      <c r="B507" s="530" t="s">
        <v>220</v>
      </c>
      <c r="C507" s="530" t="str">
        <f t="shared" si="15"/>
        <v>2020.Accommodation.Total</v>
      </c>
      <c r="D507" s="530" t="s">
        <v>246</v>
      </c>
      <c r="E507" s="530" t="s">
        <v>23</v>
      </c>
      <c r="F507" s="530" t="s">
        <v>54</v>
      </c>
      <c r="G507" s="530" t="s">
        <v>54</v>
      </c>
      <c r="H507" s="530">
        <v>102331.11657490829</v>
      </c>
      <c r="I507" s="530">
        <v>104682.39265185292</v>
      </c>
      <c r="J507" s="530">
        <v>175920.43520272317</v>
      </c>
      <c r="K507" s="530">
        <v>0</v>
      </c>
      <c r="L507" s="530">
        <v>0</v>
      </c>
      <c r="M507" s="530">
        <v>0</v>
      </c>
      <c r="N507" s="530">
        <v>99781.231452529988</v>
      </c>
      <c r="O507" s="530">
        <v>186399.85240102053</v>
      </c>
      <c r="P507" s="530">
        <v>209324.90906186157</v>
      </c>
      <c r="Q507" s="530">
        <v>70862.114262356918</v>
      </c>
      <c r="R507" s="530">
        <v>68895.411666454806</v>
      </c>
      <c r="S507" s="530">
        <v>41396.50728974925</v>
      </c>
      <c r="T507" s="530">
        <v>209324.90906186157</v>
      </c>
      <c r="U507" s="530" t="s">
        <v>58</v>
      </c>
    </row>
    <row r="508" spans="1:21" ht="13.8" x14ac:dyDescent="0.3">
      <c r="A508" s="530" t="str">
        <f t="shared" si="14"/>
        <v>North Wales.2020.Economic Impact.Total</v>
      </c>
      <c r="B508" s="530" t="s">
        <v>220</v>
      </c>
      <c r="C508" s="530" t="str">
        <f t="shared" si="15"/>
        <v>2020.Economic Impact.Total</v>
      </c>
      <c r="D508" s="530" t="s">
        <v>246</v>
      </c>
      <c r="E508" s="530" t="s">
        <v>17</v>
      </c>
      <c r="F508" s="530" t="s">
        <v>54</v>
      </c>
      <c r="G508" s="530" t="s">
        <v>54</v>
      </c>
      <c r="H508" s="530">
        <v>108979.37788632137</v>
      </c>
      <c r="I508" s="530">
        <v>127323.06709802995</v>
      </c>
      <c r="J508" s="530">
        <v>184448.61199693553</v>
      </c>
      <c r="K508" s="530">
        <v>0</v>
      </c>
      <c r="L508" s="530">
        <v>0</v>
      </c>
      <c r="M508" s="530">
        <v>3162.5776457343218</v>
      </c>
      <c r="N508" s="530">
        <v>153234.78549058485</v>
      </c>
      <c r="O508" s="530">
        <v>410985.40250107518</v>
      </c>
      <c r="P508" s="530">
        <v>340653.97122083267</v>
      </c>
      <c r="Q508" s="530">
        <v>68395.171834212102</v>
      </c>
      <c r="R508" s="530">
        <v>48895.017894949706</v>
      </c>
      <c r="S508" s="530">
        <v>29472.61140473657</v>
      </c>
      <c r="T508" s="530">
        <v>1475550.5949734121</v>
      </c>
      <c r="U508" s="530" t="s">
        <v>57</v>
      </c>
    </row>
    <row r="509" spans="1:21" ht="13.8" x14ac:dyDescent="0.3">
      <c r="A509" s="530" t="str">
        <f t="shared" si="14"/>
        <v>North Wales.2021.Economic Impact.Indirect Expenditure</v>
      </c>
      <c r="B509" s="530" t="s">
        <v>220</v>
      </c>
      <c r="C509" s="530" t="str">
        <f t="shared" si="15"/>
        <v>2021.Economic Impact.Indirect Expenditure</v>
      </c>
      <c r="D509" s="530" t="s">
        <v>247</v>
      </c>
      <c r="E509" s="530" t="s">
        <v>17</v>
      </c>
      <c r="F509" s="530" t="s">
        <v>45</v>
      </c>
      <c r="G509" s="530" t="s">
        <v>45</v>
      </c>
      <c r="H509" s="530">
        <v>74.789889800947492</v>
      </c>
      <c r="I509" s="530">
        <v>69.789778039601359</v>
      </c>
      <c r="J509" s="530">
        <v>11542.632109517122</v>
      </c>
      <c r="K509" s="530">
        <v>43980.325059064242</v>
      </c>
      <c r="L509" s="530">
        <v>49754.310287303662</v>
      </c>
      <c r="M509" s="530">
        <v>90051.579906235274</v>
      </c>
      <c r="N509" s="530">
        <v>129346.15332766538</v>
      </c>
      <c r="O509" s="530">
        <v>158106.47509497945</v>
      </c>
      <c r="P509" s="530">
        <v>119540.3210785687</v>
      </c>
      <c r="Q509" s="530">
        <v>98006.386056532327</v>
      </c>
      <c r="R509" s="530">
        <v>40006.170625302977</v>
      </c>
      <c r="S509" s="530">
        <v>35840.261929690692</v>
      </c>
      <c r="T509" s="530">
        <v>776319.19514270045</v>
      </c>
      <c r="U509" s="530" t="s">
        <v>57</v>
      </c>
    </row>
    <row r="510" spans="1:21" ht="13.8" x14ac:dyDescent="0.3">
      <c r="A510" s="530" t="str">
        <f t="shared" si="14"/>
        <v>North Wales.2021.Economic Impact.Direct Revenue</v>
      </c>
      <c r="B510" s="530" t="s">
        <v>220</v>
      </c>
      <c r="C510" s="530" t="str">
        <f t="shared" si="15"/>
        <v>2021.Economic Impact.Direct Revenue</v>
      </c>
      <c r="D510" s="530" t="s">
        <v>247</v>
      </c>
      <c r="E510" s="530" t="s">
        <v>17</v>
      </c>
      <c r="F510" s="530" t="s">
        <v>46</v>
      </c>
      <c r="G510" s="530" t="s">
        <v>46</v>
      </c>
      <c r="H510" s="530">
        <v>160.16502617471156</v>
      </c>
      <c r="I510" s="530">
        <v>149.52880751566153</v>
      </c>
      <c r="J510" s="530">
        <v>28486.31905714421</v>
      </c>
      <c r="K510" s="530">
        <v>104451.15367821121</v>
      </c>
      <c r="L510" s="530">
        <v>120325.93101488549</v>
      </c>
      <c r="M510" s="530">
        <v>226387.03103071544</v>
      </c>
      <c r="N510" s="530">
        <v>333370.15834500617</v>
      </c>
      <c r="O510" s="530">
        <v>409228.24942968914</v>
      </c>
      <c r="P510" s="530">
        <v>307968.69778711238</v>
      </c>
      <c r="Q510" s="530">
        <v>240570.86492684629</v>
      </c>
      <c r="R510" s="530">
        <v>98750.202495620964</v>
      </c>
      <c r="S510" s="530">
        <v>85433.05118089063</v>
      </c>
      <c r="T510" s="530">
        <v>1955281.3527798122</v>
      </c>
      <c r="U510" s="530" t="s">
        <v>57</v>
      </c>
    </row>
    <row r="511" spans="1:21" ht="13.8" x14ac:dyDescent="0.3">
      <c r="A511" s="530" t="str">
        <f t="shared" si="14"/>
        <v>North Wales.2021.Economic Impact.VAT</v>
      </c>
      <c r="B511" s="530" t="s">
        <v>220</v>
      </c>
      <c r="C511" s="530" t="str">
        <f t="shared" si="15"/>
        <v>2021.Economic Impact.VAT</v>
      </c>
      <c r="D511" s="530" t="s">
        <v>247</v>
      </c>
      <c r="E511" s="530" t="s">
        <v>17</v>
      </c>
      <c r="F511" s="530" t="s">
        <v>47</v>
      </c>
      <c r="G511" s="530" t="s">
        <v>47</v>
      </c>
      <c r="H511" s="530">
        <v>12.919652836969803</v>
      </c>
      <c r="I511" s="530">
        <v>11.984217338773442</v>
      </c>
      <c r="J511" s="530">
        <v>3842.6571532234034</v>
      </c>
      <c r="K511" s="530">
        <v>12379.242010441103</v>
      </c>
      <c r="L511" s="530">
        <v>13820.1214885794</v>
      </c>
      <c r="M511" s="530">
        <v>27941.100575121862</v>
      </c>
      <c r="N511" s="530">
        <v>39140.528916728552</v>
      </c>
      <c r="O511" s="530">
        <v>49959.159179050926</v>
      </c>
      <c r="P511" s="530">
        <v>35842.110112338196</v>
      </c>
      <c r="Q511" s="530">
        <v>39213.180730972701</v>
      </c>
      <c r="R511" s="530">
        <v>15540.421329197827</v>
      </c>
      <c r="S511" s="530">
        <v>13360.889067169946</v>
      </c>
      <c r="T511" s="530">
        <v>251064.31443299964</v>
      </c>
      <c r="U511" s="530" t="s">
        <v>57</v>
      </c>
    </row>
    <row r="512" spans="1:21" ht="13.8" x14ac:dyDescent="0.3">
      <c r="A512" s="530" t="str">
        <f t="shared" si="14"/>
        <v>North Wales.2021.Economic Impact.Serviced Accommodation</v>
      </c>
      <c r="B512" s="530" t="s">
        <v>220</v>
      </c>
      <c r="C512" s="530" t="str">
        <f t="shared" si="15"/>
        <v>2021.Economic Impact.Serviced Accommodation</v>
      </c>
      <c r="D512" s="530" t="s">
        <v>247</v>
      </c>
      <c r="E512" s="530" t="s">
        <v>17</v>
      </c>
      <c r="F512" s="530" t="s">
        <v>43</v>
      </c>
      <c r="G512" s="530" t="s">
        <v>43</v>
      </c>
      <c r="H512" s="530">
        <v>0</v>
      </c>
      <c r="I512" s="530">
        <v>0</v>
      </c>
      <c r="J512" s="530">
        <v>0</v>
      </c>
      <c r="K512" s="530">
        <v>0</v>
      </c>
      <c r="L512" s="530">
        <v>16125.082745734562</v>
      </c>
      <c r="M512" s="530">
        <v>45666.753982675087</v>
      </c>
      <c r="N512" s="530">
        <v>81261.132756922481</v>
      </c>
      <c r="O512" s="530">
        <v>94375.779737765552</v>
      </c>
      <c r="P512" s="530">
        <v>69630.773023986287</v>
      </c>
      <c r="Q512" s="530">
        <v>40832.139159111161</v>
      </c>
      <c r="R512" s="530">
        <v>39386.424431837338</v>
      </c>
      <c r="S512" s="530">
        <v>26728.778808906001</v>
      </c>
      <c r="T512" s="530">
        <v>414006.86464693845</v>
      </c>
      <c r="U512" s="530" t="s">
        <v>57</v>
      </c>
    </row>
    <row r="513" spans="1:21" ht="13.8" x14ac:dyDescent="0.3">
      <c r="A513" s="530" t="str">
        <f t="shared" si="14"/>
        <v>North Wales.2021.Economic Impact.Non-Serviced Accommodation</v>
      </c>
      <c r="B513" s="530" t="s">
        <v>220</v>
      </c>
      <c r="C513" s="530" t="str">
        <f t="shared" si="15"/>
        <v>2021.Economic Impact.Non-Serviced Accommodation</v>
      </c>
      <c r="D513" s="530" t="s">
        <v>247</v>
      </c>
      <c r="E513" s="530" t="s">
        <v>17</v>
      </c>
      <c r="F513" s="530" t="s">
        <v>48</v>
      </c>
      <c r="G513" s="530" t="s">
        <v>48</v>
      </c>
      <c r="H513" s="530">
        <v>247.87456881262881</v>
      </c>
      <c r="I513" s="530">
        <v>231.30280289403635</v>
      </c>
      <c r="J513" s="530">
        <v>27215.460069944871</v>
      </c>
      <c r="K513" s="530">
        <v>139918.63213258193</v>
      </c>
      <c r="L513" s="530">
        <v>141474.02760624504</v>
      </c>
      <c r="M513" s="530">
        <v>198613.19026644959</v>
      </c>
      <c r="N513" s="530">
        <v>285052.62224552647</v>
      </c>
      <c r="O513" s="530">
        <v>341671.10291065904</v>
      </c>
      <c r="P513" s="530">
        <v>299117.52360483946</v>
      </c>
      <c r="Q513" s="530">
        <v>264085.09263882483</v>
      </c>
      <c r="R513" s="530">
        <v>76688.782725228797</v>
      </c>
      <c r="S513" s="530">
        <v>78528.678370033347</v>
      </c>
      <c r="T513" s="530">
        <v>1852844.2899420401</v>
      </c>
      <c r="U513" s="530" t="s">
        <v>57</v>
      </c>
    </row>
    <row r="514" spans="1:21" ht="13.8" x14ac:dyDescent="0.3">
      <c r="A514" s="530" t="str">
        <f t="shared" si="14"/>
        <v>North Wales.2021.Economic Impact.SFR</v>
      </c>
      <c r="B514" s="530" t="s">
        <v>220</v>
      </c>
      <c r="C514" s="530" t="str">
        <f t="shared" si="15"/>
        <v>2021.Economic Impact.SFR</v>
      </c>
      <c r="D514" s="530" t="s">
        <v>247</v>
      </c>
      <c r="E514" s="530" t="s">
        <v>17</v>
      </c>
      <c r="F514" s="530" t="s">
        <v>18</v>
      </c>
      <c r="G514" s="530" t="s">
        <v>18</v>
      </c>
      <c r="H514" s="530">
        <v>0</v>
      </c>
      <c r="I514" s="530">
        <v>0</v>
      </c>
      <c r="J514" s="530">
        <v>0</v>
      </c>
      <c r="K514" s="530">
        <v>0</v>
      </c>
      <c r="L514" s="530">
        <v>912.87902690794999</v>
      </c>
      <c r="M514" s="530">
        <v>703.20731222768313</v>
      </c>
      <c r="N514" s="530">
        <v>5705.4939181746877</v>
      </c>
      <c r="O514" s="530">
        <v>6039.8012830287043</v>
      </c>
      <c r="P514" s="530">
        <v>3110.9879874492358</v>
      </c>
      <c r="Q514" s="530">
        <v>3107.9381416093388</v>
      </c>
      <c r="R514" s="530">
        <v>2421.7228276325095</v>
      </c>
      <c r="S514" s="530">
        <v>7012.5707067019803</v>
      </c>
      <c r="T514" s="530">
        <v>29014.601203732087</v>
      </c>
      <c r="U514" s="530" t="s">
        <v>57</v>
      </c>
    </row>
    <row r="515" spans="1:21" ht="13.8" x14ac:dyDescent="0.3">
      <c r="A515" s="530" t="str">
        <f t="shared" si="14"/>
        <v>North Wales.2021.Economic Impact.Day Visitor</v>
      </c>
      <c r="B515" s="530" t="s">
        <v>220</v>
      </c>
      <c r="C515" s="530" t="str">
        <f t="shared" si="15"/>
        <v>2021.Economic Impact.Day Visitor</v>
      </c>
      <c r="D515" s="530" t="s">
        <v>247</v>
      </c>
      <c r="E515" s="530" t="s">
        <v>17</v>
      </c>
      <c r="F515" s="530" t="s">
        <v>71</v>
      </c>
      <c r="G515" s="530" t="s">
        <v>71</v>
      </c>
      <c r="H515" s="530">
        <v>0</v>
      </c>
      <c r="I515" s="530">
        <v>0</v>
      </c>
      <c r="J515" s="530">
        <v>16656.14824993987</v>
      </c>
      <c r="K515" s="530">
        <v>20892.088615134631</v>
      </c>
      <c r="L515" s="530">
        <v>25388.373411881024</v>
      </c>
      <c r="M515" s="530">
        <v>99396.559950720213</v>
      </c>
      <c r="N515" s="530">
        <v>129837.5916687764</v>
      </c>
      <c r="O515" s="530">
        <v>175207.19977226621</v>
      </c>
      <c r="P515" s="530">
        <v>91491.844361744195</v>
      </c>
      <c r="Q515" s="530">
        <v>69765.261774805927</v>
      </c>
      <c r="R515" s="530">
        <v>35799.864465423147</v>
      </c>
      <c r="S515" s="530">
        <v>22364.174292109921</v>
      </c>
      <c r="T515" s="530">
        <v>686799.10656280164</v>
      </c>
      <c r="U515" s="530" t="s">
        <v>57</v>
      </c>
    </row>
    <row r="516" spans="1:21" ht="13.8" x14ac:dyDescent="0.3">
      <c r="A516" s="530" t="str">
        <f t="shared" si="14"/>
        <v>North Wales.2021.Economic Impact.Accommodation</v>
      </c>
      <c r="B516" s="530" t="s">
        <v>220</v>
      </c>
      <c r="C516" s="530" t="str">
        <f t="shared" si="15"/>
        <v>2021.Economic Impact.Accommodation</v>
      </c>
      <c r="D516" s="530" t="s">
        <v>247</v>
      </c>
      <c r="E516" s="530" t="s">
        <v>17</v>
      </c>
      <c r="F516" s="530" t="s">
        <v>23</v>
      </c>
      <c r="G516" s="530" t="s">
        <v>23</v>
      </c>
      <c r="H516" s="530">
        <v>98.33966903896517</v>
      </c>
      <c r="I516" s="530">
        <v>92.784328567436091</v>
      </c>
      <c r="J516" s="530">
        <v>4285.6011968386356</v>
      </c>
      <c r="K516" s="530">
        <v>29742.63052661698</v>
      </c>
      <c r="L516" s="530">
        <v>39160.149775672005</v>
      </c>
      <c r="M516" s="530">
        <v>60833.31387401848</v>
      </c>
      <c r="N516" s="530">
        <v>108677.32497668013</v>
      </c>
      <c r="O516" s="530">
        <v>114716.59067792707</v>
      </c>
      <c r="P516" s="530">
        <v>100412.04933779995</v>
      </c>
      <c r="Q516" s="530">
        <v>55169.376945361437</v>
      </c>
      <c r="R516" s="530">
        <v>34270.60401481908</v>
      </c>
      <c r="S516" s="530">
        <v>31047.99318911591</v>
      </c>
      <c r="T516" s="530">
        <v>578506.75851245609</v>
      </c>
      <c r="U516" s="530" t="s">
        <v>57</v>
      </c>
    </row>
    <row r="517" spans="1:21" ht="13.8" x14ac:dyDescent="0.3">
      <c r="A517" s="530" t="str">
        <f t="shared" si="14"/>
        <v>North Wales.2021.Economic Impact.Food &amp; Drink</v>
      </c>
      <c r="B517" s="530" t="s">
        <v>220</v>
      </c>
      <c r="C517" s="530" t="str">
        <f t="shared" si="15"/>
        <v>2021.Economic Impact.Food &amp; Drink</v>
      </c>
      <c r="D517" s="530" t="s">
        <v>247</v>
      </c>
      <c r="E517" s="530" t="s">
        <v>17</v>
      </c>
      <c r="F517" s="530" t="s">
        <v>49</v>
      </c>
      <c r="G517" s="530" t="s">
        <v>49</v>
      </c>
      <c r="H517" s="530">
        <v>28.338350196574407</v>
      </c>
      <c r="I517" s="530">
        <v>26.009472337155536</v>
      </c>
      <c r="J517" s="530">
        <v>7559.1505188248393</v>
      </c>
      <c r="K517" s="530">
        <v>24395.595296541283</v>
      </c>
      <c r="L517" s="530">
        <v>26852.587345937816</v>
      </c>
      <c r="M517" s="530">
        <v>51168.546040758301</v>
      </c>
      <c r="N517" s="530">
        <v>72488.450017404844</v>
      </c>
      <c r="O517" s="530">
        <v>98569.319839863238</v>
      </c>
      <c r="P517" s="530">
        <v>71424.684272741768</v>
      </c>
      <c r="Q517" s="530">
        <v>62747.179012677385</v>
      </c>
      <c r="R517" s="530">
        <v>20906.557246379387</v>
      </c>
      <c r="S517" s="530">
        <v>18010.062885386847</v>
      </c>
      <c r="T517" s="530">
        <v>454176.48029904946</v>
      </c>
      <c r="U517" s="530" t="s">
        <v>57</v>
      </c>
    </row>
    <row r="518" spans="1:21" ht="13.8" x14ac:dyDescent="0.3">
      <c r="A518" s="530" t="str">
        <f t="shared" si="14"/>
        <v>North Wales.2021.Economic Impact.Recreation</v>
      </c>
      <c r="B518" s="530" t="s">
        <v>220</v>
      </c>
      <c r="C518" s="530" t="str">
        <f t="shared" si="15"/>
        <v>2021.Economic Impact.Recreation</v>
      </c>
      <c r="D518" s="530" t="s">
        <v>247</v>
      </c>
      <c r="E518" s="530" t="s">
        <v>17</v>
      </c>
      <c r="F518" s="530" t="s">
        <v>50</v>
      </c>
      <c r="G518" s="530" t="s">
        <v>50</v>
      </c>
      <c r="H518" s="530">
        <v>10.438556844560951</v>
      </c>
      <c r="I518" s="530">
        <v>9.5807043672307106</v>
      </c>
      <c r="J518" s="530">
        <v>3212.107069438659</v>
      </c>
      <c r="K518" s="530">
        <v>11600.797114201792</v>
      </c>
      <c r="L518" s="530">
        <v>12001.121525590184</v>
      </c>
      <c r="M518" s="530">
        <v>21820.863291850168</v>
      </c>
      <c r="N518" s="530">
        <v>27350.69670055656</v>
      </c>
      <c r="O518" s="530">
        <v>31910.698873006477</v>
      </c>
      <c r="P518" s="530">
        <v>23595.95612205183</v>
      </c>
      <c r="Q518" s="530">
        <v>21933.514027223951</v>
      </c>
      <c r="R518" s="530">
        <v>8236.9781992195331</v>
      </c>
      <c r="S518" s="530">
        <v>6827.6558670484756</v>
      </c>
      <c r="T518" s="530">
        <v>168510.40805139943</v>
      </c>
      <c r="U518" s="530" t="s">
        <v>57</v>
      </c>
    </row>
    <row r="519" spans="1:21" ht="13.8" x14ac:dyDescent="0.3">
      <c r="A519" s="530" t="str">
        <f t="shared" si="14"/>
        <v>North Wales.2021.Economic Impact.Shopping</v>
      </c>
      <c r="B519" s="530" t="s">
        <v>220</v>
      </c>
      <c r="C519" s="530" t="str">
        <f t="shared" si="15"/>
        <v>2021.Economic Impact.Shopping</v>
      </c>
      <c r="D519" s="530" t="s">
        <v>247</v>
      </c>
      <c r="E519" s="530" t="s">
        <v>17</v>
      </c>
      <c r="F519" s="530" t="s">
        <v>51</v>
      </c>
      <c r="G519" s="530" t="s">
        <v>51</v>
      </c>
      <c r="H519" s="530">
        <v>13.39345760081768</v>
      </c>
      <c r="I519" s="530">
        <v>12.292768017576517</v>
      </c>
      <c r="J519" s="530">
        <v>10046.757309268118</v>
      </c>
      <c r="K519" s="530">
        <v>27547.865033222806</v>
      </c>
      <c r="L519" s="530">
        <v>30721.513484469015</v>
      </c>
      <c r="M519" s="530">
        <v>69099.740553776413</v>
      </c>
      <c r="N519" s="530">
        <v>93260.625288371535</v>
      </c>
      <c r="O519" s="530">
        <v>123733.43831814012</v>
      </c>
      <c r="P519" s="530">
        <v>83568.490001028083</v>
      </c>
      <c r="Q519" s="530">
        <v>73794.387284881101</v>
      </c>
      <c r="R519" s="530">
        <v>26289.485424874758</v>
      </c>
      <c r="S519" s="530">
        <v>22014.070023471482</v>
      </c>
      <c r="T519" s="530">
        <v>560102.05894712172</v>
      </c>
      <c r="U519" s="530" t="s">
        <v>57</v>
      </c>
    </row>
    <row r="520" spans="1:21" ht="13.8" x14ac:dyDescent="0.3">
      <c r="A520" s="530" t="str">
        <f t="shared" si="14"/>
        <v>North Wales.2021.Economic Impact.Transport</v>
      </c>
      <c r="B520" s="530" t="s">
        <v>220</v>
      </c>
      <c r="C520" s="530" t="str">
        <f t="shared" si="15"/>
        <v>2021.Economic Impact.Transport</v>
      </c>
      <c r="D520" s="530" t="s">
        <v>247</v>
      </c>
      <c r="E520" s="530" t="s">
        <v>17</v>
      </c>
      <c r="F520" s="530" t="s">
        <v>52</v>
      </c>
      <c r="G520" s="530" t="s">
        <v>52</v>
      </c>
      <c r="H520" s="530">
        <v>9.6549924937933298</v>
      </c>
      <c r="I520" s="530">
        <v>8.8615342262626839</v>
      </c>
      <c r="J520" s="530">
        <v>3382.7029627739612</v>
      </c>
      <c r="K520" s="530">
        <v>11164.265707628367</v>
      </c>
      <c r="L520" s="530">
        <v>11590.558883216478</v>
      </c>
      <c r="M520" s="530">
        <v>23464.567270312073</v>
      </c>
      <c r="N520" s="530">
        <v>31593.061361993081</v>
      </c>
      <c r="O520" s="530">
        <v>40298.201720752251</v>
      </c>
      <c r="P520" s="530">
        <v>28967.518053490709</v>
      </c>
      <c r="Q520" s="530">
        <v>26926.407656702424</v>
      </c>
      <c r="R520" s="530">
        <v>9046.5776103282278</v>
      </c>
      <c r="S520" s="530">
        <v>7533.2692158679165</v>
      </c>
      <c r="T520" s="530">
        <v>193985.64696978554</v>
      </c>
      <c r="U520" s="530" t="s">
        <v>57</v>
      </c>
    </row>
    <row r="521" spans="1:21" ht="13.8" x14ac:dyDescent="0.3">
      <c r="A521" s="530" t="str">
        <f t="shared" ref="A521:A584" si="16">B521&amp;"."&amp;D521&amp;"."&amp;E521&amp;"."&amp;F521</f>
        <v>North Wales.2021.Economic Impact.Direct Expenditure</v>
      </c>
      <c r="B521" s="530" t="s">
        <v>220</v>
      </c>
      <c r="C521" s="530" t="str">
        <f t="shared" ref="C521:C584" si="17">D521&amp;"."&amp;E521&amp;"."&amp;F521</f>
        <v>2021.Economic Impact.Direct Expenditure</v>
      </c>
      <c r="D521" s="530" t="s">
        <v>247</v>
      </c>
      <c r="E521" s="530" t="s">
        <v>17</v>
      </c>
      <c r="F521" s="530" t="s">
        <v>44</v>
      </c>
      <c r="G521" s="530" t="s">
        <v>44</v>
      </c>
      <c r="H521" s="530">
        <v>173.08467901168132</v>
      </c>
      <c r="I521" s="530">
        <v>161.513024854435</v>
      </c>
      <c r="J521" s="530">
        <v>32328.976210367615</v>
      </c>
      <c r="K521" s="530">
        <v>116830.39568865234</v>
      </c>
      <c r="L521" s="530">
        <v>134146.05250346492</v>
      </c>
      <c r="M521" s="530">
        <v>254328.13160583729</v>
      </c>
      <c r="N521" s="530">
        <v>372510.68726173474</v>
      </c>
      <c r="O521" s="530">
        <v>459187.40860874002</v>
      </c>
      <c r="P521" s="530">
        <v>343810.80789945053</v>
      </c>
      <c r="Q521" s="530">
        <v>279784.04565781902</v>
      </c>
      <c r="R521" s="530">
        <v>114290.6238248188</v>
      </c>
      <c r="S521" s="530">
        <v>98793.940248060564</v>
      </c>
      <c r="T521" s="530">
        <v>2206345.6672128122</v>
      </c>
      <c r="U521" s="530" t="s">
        <v>57</v>
      </c>
    </row>
    <row r="522" spans="1:21" ht="13.8" x14ac:dyDescent="0.3">
      <c r="A522" s="530" t="str">
        <f t="shared" si="16"/>
        <v>North Wales.2021.Population.Total</v>
      </c>
      <c r="B522" s="530" t="s">
        <v>220</v>
      </c>
      <c r="C522" s="530" t="str">
        <f t="shared" si="17"/>
        <v>2021.Population.Total</v>
      </c>
      <c r="D522" s="530" t="s">
        <v>247</v>
      </c>
      <c r="E522" s="530" t="s">
        <v>19</v>
      </c>
      <c r="F522" s="530" t="s">
        <v>54</v>
      </c>
      <c r="G522" s="530" t="s">
        <v>54</v>
      </c>
      <c r="H522" s="530">
        <v>292902</v>
      </c>
      <c r="I522" s="530">
        <v>292902</v>
      </c>
      <c r="J522" s="530">
        <v>292902</v>
      </c>
      <c r="K522" s="530">
        <v>292902</v>
      </c>
      <c r="L522" s="530">
        <v>292902</v>
      </c>
      <c r="M522" s="530">
        <v>292902</v>
      </c>
      <c r="N522" s="530">
        <v>292902</v>
      </c>
      <c r="O522" s="530">
        <v>292902</v>
      </c>
      <c r="P522" s="530">
        <v>292902</v>
      </c>
      <c r="Q522" s="530">
        <v>292902</v>
      </c>
      <c r="R522" s="530">
        <v>292902</v>
      </c>
      <c r="S522" s="530">
        <v>292902</v>
      </c>
      <c r="T522" s="530">
        <v>292902</v>
      </c>
      <c r="U522" s="530" t="s">
        <v>60</v>
      </c>
    </row>
    <row r="523" spans="1:21" ht="13.8" x14ac:dyDescent="0.3">
      <c r="A523" s="530" t="str">
        <f t="shared" si="16"/>
        <v>North Wales.2021.Employment.Serviced Accommodation</v>
      </c>
      <c r="B523" s="530" t="s">
        <v>220</v>
      </c>
      <c r="C523" s="530" t="str">
        <f t="shared" si="17"/>
        <v>2021.Employment.Serviced Accommodation</v>
      </c>
      <c r="D523" s="530" t="s">
        <v>247</v>
      </c>
      <c r="E523" s="530" t="s">
        <v>20</v>
      </c>
      <c r="F523" s="530" t="s">
        <v>43</v>
      </c>
      <c r="G523" s="530" t="s">
        <v>43</v>
      </c>
      <c r="H523" s="530">
        <v>0</v>
      </c>
      <c r="I523" s="530">
        <v>0</v>
      </c>
      <c r="J523" s="530">
        <v>0</v>
      </c>
      <c r="K523" s="530">
        <v>0</v>
      </c>
      <c r="L523" s="530">
        <v>3309.80956020551</v>
      </c>
      <c r="M523" s="530">
        <v>7538.3937025837358</v>
      </c>
      <c r="N523" s="530">
        <v>8713.5059656638041</v>
      </c>
      <c r="O523" s="530">
        <v>9767.7940624340663</v>
      </c>
      <c r="P523" s="530">
        <v>7814.5092894629133</v>
      </c>
      <c r="Q523" s="530">
        <v>7204.1178202237679</v>
      </c>
      <c r="R523" s="530">
        <v>6946.1582622385376</v>
      </c>
      <c r="S523" s="530">
        <v>6209.6349807295246</v>
      </c>
      <c r="T523" s="530">
        <v>4791.9936369618226</v>
      </c>
      <c r="U523" s="530" t="s">
        <v>59</v>
      </c>
    </row>
    <row r="524" spans="1:21" ht="13.8" x14ac:dyDescent="0.3">
      <c r="A524" s="530" t="str">
        <f t="shared" si="16"/>
        <v>North Wales.2021.Employment.Non-Serviced Accommodation</v>
      </c>
      <c r="B524" s="530" t="s">
        <v>220</v>
      </c>
      <c r="C524" s="530" t="str">
        <f t="shared" si="17"/>
        <v>2021.Employment.Non-Serviced Accommodation</v>
      </c>
      <c r="D524" s="530" t="s">
        <v>247</v>
      </c>
      <c r="E524" s="530" t="s">
        <v>20</v>
      </c>
      <c r="F524" s="530" t="s">
        <v>48</v>
      </c>
      <c r="G524" s="530" t="s">
        <v>48</v>
      </c>
      <c r="H524" s="530">
        <v>10.755207501893329</v>
      </c>
      <c r="I524" s="530">
        <v>9.8713323132931503</v>
      </c>
      <c r="J524" s="530">
        <v>3332.6603441049201</v>
      </c>
      <c r="K524" s="530">
        <v>16979.008694339926</v>
      </c>
      <c r="L524" s="530">
        <v>16843.774897251162</v>
      </c>
      <c r="M524" s="530">
        <v>22387.33446627728</v>
      </c>
      <c r="N524" s="530">
        <v>28968.267504306867</v>
      </c>
      <c r="O524" s="530">
        <v>36078.119352404072</v>
      </c>
      <c r="P524" s="530">
        <v>30442.604733140146</v>
      </c>
      <c r="Q524" s="530">
        <v>28274.019543880833</v>
      </c>
      <c r="R524" s="530">
        <v>10596.819605492366</v>
      </c>
      <c r="S524" s="530">
        <v>10337.003455139145</v>
      </c>
      <c r="T524" s="530">
        <v>17021.686594679326</v>
      </c>
      <c r="U524" s="530" t="s">
        <v>59</v>
      </c>
    </row>
    <row r="525" spans="1:21" ht="13.8" x14ac:dyDescent="0.3">
      <c r="A525" s="530" t="str">
        <f t="shared" si="16"/>
        <v>North Wales.2021.Employment.SFR</v>
      </c>
      <c r="B525" s="530" t="s">
        <v>220</v>
      </c>
      <c r="C525" s="530" t="str">
        <f t="shared" si="17"/>
        <v>2021.Employment.SFR</v>
      </c>
      <c r="D525" s="530" t="s">
        <v>247</v>
      </c>
      <c r="E525" s="530" t="s">
        <v>20</v>
      </c>
      <c r="F525" s="530" t="s">
        <v>18</v>
      </c>
      <c r="G525" s="530" t="s">
        <v>18</v>
      </c>
      <c r="H525" s="530">
        <v>0</v>
      </c>
      <c r="I525" s="530">
        <v>0</v>
      </c>
      <c r="J525" s="530">
        <v>0</v>
      </c>
      <c r="K525" s="530">
        <v>0</v>
      </c>
      <c r="L525" s="530">
        <v>103.80665937813983</v>
      </c>
      <c r="M525" s="530">
        <v>79.964157112787987</v>
      </c>
      <c r="N525" s="530">
        <v>648.79162111337405</v>
      </c>
      <c r="O525" s="530">
        <v>686.80687804018658</v>
      </c>
      <c r="P525" s="530">
        <v>353.76129894940755</v>
      </c>
      <c r="Q525" s="530">
        <v>342.78035321346914</v>
      </c>
      <c r="R525" s="530">
        <v>267.09637335675689</v>
      </c>
      <c r="S525" s="530">
        <v>773.42963542157929</v>
      </c>
      <c r="T525" s="530">
        <v>271.36974804880845</v>
      </c>
      <c r="U525" s="530" t="s">
        <v>59</v>
      </c>
    </row>
    <row r="526" spans="1:21" ht="13.8" x14ac:dyDescent="0.3">
      <c r="A526" s="530" t="str">
        <f t="shared" si="16"/>
        <v>North Wales.2021.Employment.Day Visitor</v>
      </c>
      <c r="B526" s="530" t="s">
        <v>220</v>
      </c>
      <c r="C526" s="530" t="str">
        <f t="shared" si="17"/>
        <v>2021.Employment.Day Visitor</v>
      </c>
      <c r="D526" s="530" t="s">
        <v>247</v>
      </c>
      <c r="E526" s="530" t="s">
        <v>20</v>
      </c>
      <c r="F526" s="530" t="s">
        <v>71</v>
      </c>
      <c r="G526" s="530" t="s">
        <v>71</v>
      </c>
      <c r="H526" s="530">
        <v>0</v>
      </c>
      <c r="I526" s="530">
        <v>0</v>
      </c>
      <c r="J526" s="530">
        <v>1725.623849891163</v>
      </c>
      <c r="K526" s="530">
        <v>2202.2129798131659</v>
      </c>
      <c r="L526" s="530">
        <v>2675.1145236517423</v>
      </c>
      <c r="M526" s="530">
        <v>10173.617416915378</v>
      </c>
      <c r="N526" s="530">
        <v>13318.746497560121</v>
      </c>
      <c r="O526" s="530">
        <v>17962.875917332782</v>
      </c>
      <c r="P526" s="530">
        <v>9379.2221057977877</v>
      </c>
      <c r="Q526" s="530">
        <v>7033.0333137100361</v>
      </c>
      <c r="R526" s="530">
        <v>3626.0129508301934</v>
      </c>
      <c r="S526" s="530">
        <v>2276.8177391642721</v>
      </c>
      <c r="T526" s="530">
        <v>5864.4397745555534</v>
      </c>
      <c r="U526" s="530" t="s">
        <v>59</v>
      </c>
    </row>
    <row r="527" spans="1:21" ht="13.8" x14ac:dyDescent="0.3">
      <c r="A527" s="530" t="str">
        <f t="shared" si="16"/>
        <v>North Wales.2021.Employment.Direct Employment</v>
      </c>
      <c r="B527" s="530" t="s">
        <v>220</v>
      </c>
      <c r="C527" s="530" t="str">
        <f t="shared" si="17"/>
        <v>2021.Employment.Direct Employment</v>
      </c>
      <c r="D527" s="530" t="s">
        <v>247</v>
      </c>
      <c r="E527" s="530" t="s">
        <v>20</v>
      </c>
      <c r="F527" s="530" t="s">
        <v>55</v>
      </c>
      <c r="G527" s="530" t="s">
        <v>55</v>
      </c>
      <c r="H527" s="530">
        <v>10.755207501893329</v>
      </c>
      <c r="I527" s="530">
        <v>9.8713323132931503</v>
      </c>
      <c r="J527" s="530">
        <v>5058.2841939960836</v>
      </c>
      <c r="K527" s="530">
        <v>19181.22167415309</v>
      </c>
      <c r="L527" s="530">
        <v>22932.505640486554</v>
      </c>
      <c r="M527" s="530">
        <v>40179.309742889178</v>
      </c>
      <c r="N527" s="530">
        <v>51649.311588644166</v>
      </c>
      <c r="O527" s="530">
        <v>64495.596210211108</v>
      </c>
      <c r="P527" s="530">
        <v>47990.097427350258</v>
      </c>
      <c r="Q527" s="530">
        <v>42853.951031028111</v>
      </c>
      <c r="R527" s="530">
        <v>21436.087191917857</v>
      </c>
      <c r="S527" s="530">
        <v>19596.885810454522</v>
      </c>
      <c r="T527" s="530">
        <v>27949.489754245511</v>
      </c>
      <c r="U527" s="530" t="s">
        <v>59</v>
      </c>
    </row>
    <row r="528" spans="1:21" ht="13.8" x14ac:dyDescent="0.3">
      <c r="A528" s="530" t="str">
        <f t="shared" si="16"/>
        <v>North Wales.2021.Employment.Indirect Employment</v>
      </c>
      <c r="B528" s="530" t="s">
        <v>220</v>
      </c>
      <c r="C528" s="530" t="str">
        <f t="shared" si="17"/>
        <v>2021.Employment.Indirect Employment</v>
      </c>
      <c r="D528" s="530" t="s">
        <v>247</v>
      </c>
      <c r="E528" s="530" t="s">
        <v>20</v>
      </c>
      <c r="F528" s="530" t="s">
        <v>53</v>
      </c>
      <c r="G528" s="530" t="s">
        <v>53</v>
      </c>
      <c r="H528" s="530">
        <v>9.1111663954659434</v>
      </c>
      <c r="I528" s="530">
        <v>8.5061132179048524</v>
      </c>
      <c r="J528" s="530">
        <v>1340.2800584485583</v>
      </c>
      <c r="K528" s="530">
        <v>5184.5731358628873</v>
      </c>
      <c r="L528" s="530">
        <v>5879.1091234266269</v>
      </c>
      <c r="M528" s="530">
        <v>10554.493874085383</v>
      </c>
      <c r="N528" s="530">
        <v>15234.72021176395</v>
      </c>
      <c r="O528" s="530">
        <v>18542.756572448998</v>
      </c>
      <c r="P528" s="530">
        <v>14096.072425663244</v>
      </c>
      <c r="Q528" s="530">
        <v>11095.959268048995</v>
      </c>
      <c r="R528" s="530">
        <v>4549.9670775768518</v>
      </c>
      <c r="S528" s="530">
        <v>4080.8313259271308</v>
      </c>
      <c r="T528" s="530">
        <v>7548.0316960721657</v>
      </c>
      <c r="U528" s="530" t="s">
        <v>59</v>
      </c>
    </row>
    <row r="529" spans="1:21" ht="13.8" x14ac:dyDescent="0.3">
      <c r="A529" s="530" t="str">
        <f t="shared" si="16"/>
        <v>North Wales.2021.Employment.Total</v>
      </c>
      <c r="B529" s="530" t="s">
        <v>220</v>
      </c>
      <c r="C529" s="530" t="str">
        <f t="shared" si="17"/>
        <v>2021.Employment.Total</v>
      </c>
      <c r="D529" s="530" t="s">
        <v>247</v>
      </c>
      <c r="E529" s="530" t="s">
        <v>20</v>
      </c>
      <c r="F529" s="530" t="s">
        <v>54</v>
      </c>
      <c r="G529" s="530" t="s">
        <v>54</v>
      </c>
      <c r="H529" s="530">
        <v>19.866373897359274</v>
      </c>
      <c r="I529" s="530">
        <v>18.377445531198003</v>
      </c>
      <c r="J529" s="530">
        <v>6398.5642524446421</v>
      </c>
      <c r="K529" s="530">
        <v>24365.794810015977</v>
      </c>
      <c r="L529" s="530">
        <v>28811.614763913181</v>
      </c>
      <c r="M529" s="530">
        <v>50733.803616974561</v>
      </c>
      <c r="N529" s="530">
        <v>66884.03180040812</v>
      </c>
      <c r="O529" s="530">
        <v>83038.352782660106</v>
      </c>
      <c r="P529" s="530">
        <v>62086.169853013504</v>
      </c>
      <c r="Q529" s="530">
        <v>53949.910299077106</v>
      </c>
      <c r="R529" s="530">
        <v>25986.054269494707</v>
      </c>
      <c r="S529" s="530">
        <v>23677.717136381652</v>
      </c>
      <c r="T529" s="530">
        <v>35497.521450317676</v>
      </c>
      <c r="U529" s="530" t="s">
        <v>59</v>
      </c>
    </row>
    <row r="530" spans="1:21" ht="13.8" x14ac:dyDescent="0.3">
      <c r="A530" s="530" t="str">
        <f t="shared" si="16"/>
        <v>North Wales.2021.Employment.Accommodation</v>
      </c>
      <c r="B530" s="530" t="s">
        <v>220</v>
      </c>
      <c r="C530" s="530" t="str">
        <f t="shared" si="17"/>
        <v>2021.Employment.Accommodation</v>
      </c>
      <c r="D530" s="530" t="s">
        <v>247</v>
      </c>
      <c r="E530" s="530" t="s">
        <v>20</v>
      </c>
      <c r="F530" s="530" t="s">
        <v>23</v>
      </c>
      <c r="G530" s="530" t="s">
        <v>23</v>
      </c>
      <c r="H530" s="530">
        <v>0</v>
      </c>
      <c r="I530" s="530">
        <v>0</v>
      </c>
      <c r="J530" s="530">
        <v>1087.9137011494254</v>
      </c>
      <c r="K530" s="530">
        <v>6841.5816091954021</v>
      </c>
      <c r="L530" s="530">
        <v>9486.4292641631146</v>
      </c>
      <c r="M530" s="530">
        <v>13085.170811703081</v>
      </c>
      <c r="N530" s="530">
        <v>14745.454095184217</v>
      </c>
      <c r="O530" s="530">
        <v>15960.967023978188</v>
      </c>
      <c r="P530" s="530">
        <v>13654.102289975875</v>
      </c>
      <c r="Q530" s="530">
        <v>12298.41975968849</v>
      </c>
      <c r="R530" s="530">
        <v>10821.983682599612</v>
      </c>
      <c r="S530" s="530">
        <v>10616.877442528734</v>
      </c>
      <c r="T530" s="530">
        <v>9049.9083066805106</v>
      </c>
      <c r="U530" s="530" t="s">
        <v>59</v>
      </c>
    </row>
    <row r="531" spans="1:21" ht="13.8" x14ac:dyDescent="0.3">
      <c r="A531" s="530" t="str">
        <f t="shared" si="16"/>
        <v>North Wales.2021.Employment.Food &amp; Drink</v>
      </c>
      <c r="B531" s="530" t="s">
        <v>220</v>
      </c>
      <c r="C531" s="530" t="str">
        <f t="shared" si="17"/>
        <v>2021.Employment.Food &amp; Drink</v>
      </c>
      <c r="D531" s="530" t="s">
        <v>247</v>
      </c>
      <c r="E531" s="530" t="s">
        <v>20</v>
      </c>
      <c r="F531" s="530" t="s">
        <v>49</v>
      </c>
      <c r="G531" s="530" t="s">
        <v>49</v>
      </c>
      <c r="H531" s="530">
        <v>6.0937764330999364</v>
      </c>
      <c r="I531" s="530">
        <v>5.5929829529978221</v>
      </c>
      <c r="J531" s="530">
        <v>1625.4924145668238</v>
      </c>
      <c r="K531" s="530">
        <v>5245.9406655041412</v>
      </c>
      <c r="L531" s="530">
        <v>5774.2833581121386</v>
      </c>
      <c r="M531" s="530">
        <v>11003.099256528141</v>
      </c>
      <c r="N531" s="530">
        <v>15587.654373803362</v>
      </c>
      <c r="O531" s="530">
        <v>21195.99038406468</v>
      </c>
      <c r="P531" s="530">
        <v>15358.906031708608</v>
      </c>
      <c r="Q531" s="530">
        <v>13492.926654466202</v>
      </c>
      <c r="R531" s="530">
        <v>4495.6705299182067</v>
      </c>
      <c r="S531" s="530">
        <v>3872.8188482505557</v>
      </c>
      <c r="T531" s="530">
        <v>8138.7057730257447</v>
      </c>
      <c r="U531" s="530" t="s">
        <v>59</v>
      </c>
    </row>
    <row r="532" spans="1:21" ht="13.8" x14ac:dyDescent="0.3">
      <c r="A532" s="530" t="str">
        <f t="shared" si="16"/>
        <v>North Wales.2021.Employment.Recreation</v>
      </c>
      <c r="B532" s="530" t="s">
        <v>220</v>
      </c>
      <c r="C532" s="530" t="str">
        <f t="shared" si="17"/>
        <v>2021.Employment.Recreation</v>
      </c>
      <c r="D532" s="530" t="s">
        <v>247</v>
      </c>
      <c r="E532" s="530" t="s">
        <v>20</v>
      </c>
      <c r="F532" s="530" t="s">
        <v>50</v>
      </c>
      <c r="G532" s="530" t="s">
        <v>50</v>
      </c>
      <c r="H532" s="530">
        <v>1.9663373984868286</v>
      </c>
      <c r="I532" s="530">
        <v>1.8047415539963181</v>
      </c>
      <c r="J532" s="530">
        <v>605.0727464182163</v>
      </c>
      <c r="K532" s="530">
        <v>2185.2715425694942</v>
      </c>
      <c r="L532" s="530">
        <v>2260.6816661490175</v>
      </c>
      <c r="M532" s="530">
        <v>4110.4513005924136</v>
      </c>
      <c r="N532" s="530">
        <v>5152.1200294078299</v>
      </c>
      <c r="O532" s="530">
        <v>6011.0991912199806</v>
      </c>
      <c r="P532" s="530">
        <v>4444.8300341459944</v>
      </c>
      <c r="Q532" s="530">
        <v>4131.6716050110199</v>
      </c>
      <c r="R532" s="530">
        <v>1551.6204514501828</v>
      </c>
      <c r="S532" s="530">
        <v>1286.142833275926</v>
      </c>
      <c r="T532" s="530">
        <v>2645.2277065993799</v>
      </c>
      <c r="U532" s="530" t="s">
        <v>59</v>
      </c>
    </row>
    <row r="533" spans="1:21" ht="13.8" x14ac:dyDescent="0.3">
      <c r="A533" s="530" t="str">
        <f t="shared" si="16"/>
        <v>North Wales.2021.Employment.Shopping</v>
      </c>
      <c r="B533" s="530" t="s">
        <v>220</v>
      </c>
      <c r="C533" s="530" t="str">
        <f t="shared" si="17"/>
        <v>2021.Employment.Shopping</v>
      </c>
      <c r="D533" s="530" t="s">
        <v>247</v>
      </c>
      <c r="E533" s="530" t="s">
        <v>20</v>
      </c>
      <c r="F533" s="530" t="s">
        <v>51</v>
      </c>
      <c r="G533" s="530" t="s">
        <v>51</v>
      </c>
      <c r="H533" s="530">
        <v>1.9900573734682463</v>
      </c>
      <c r="I533" s="530">
        <v>1.8265121944477789</v>
      </c>
      <c r="J533" s="530">
        <v>1492.7902905023113</v>
      </c>
      <c r="K533" s="530">
        <v>4093.179936547991</v>
      </c>
      <c r="L533" s="530">
        <v>4564.7342348804113</v>
      </c>
      <c r="M533" s="530">
        <v>10267.135813039818</v>
      </c>
      <c r="N533" s="530">
        <v>13857.063690413468</v>
      </c>
      <c r="O533" s="530">
        <v>18384.844945084253</v>
      </c>
      <c r="P533" s="530">
        <v>12416.964660865486</v>
      </c>
      <c r="Q533" s="530">
        <v>10964.686559196143</v>
      </c>
      <c r="R533" s="530">
        <v>3906.2044972811191</v>
      </c>
      <c r="S533" s="530">
        <v>3270.9449401311522</v>
      </c>
      <c r="T533" s="530">
        <v>6935.1971781258389</v>
      </c>
      <c r="U533" s="530" t="s">
        <v>59</v>
      </c>
    </row>
    <row r="534" spans="1:21" ht="13.8" x14ac:dyDescent="0.3">
      <c r="A534" s="530" t="str">
        <f t="shared" si="16"/>
        <v>North Wales.2021.Employment.Transport</v>
      </c>
      <c r="B534" s="530" t="s">
        <v>220</v>
      </c>
      <c r="C534" s="530" t="str">
        <f t="shared" si="17"/>
        <v>2021.Employment.Transport</v>
      </c>
      <c r="D534" s="530" t="s">
        <v>247</v>
      </c>
      <c r="E534" s="530" t="s">
        <v>20</v>
      </c>
      <c r="F534" s="530" t="s">
        <v>52</v>
      </c>
      <c r="G534" s="530" t="s">
        <v>52</v>
      </c>
      <c r="H534" s="530">
        <v>0.70503629683831648</v>
      </c>
      <c r="I534" s="530">
        <v>0.6470956118512311</v>
      </c>
      <c r="J534" s="530">
        <v>247.01504135930674</v>
      </c>
      <c r="K534" s="530">
        <v>815.24792033606298</v>
      </c>
      <c r="L534" s="530">
        <v>846.37711718187052</v>
      </c>
      <c r="M534" s="530">
        <v>1713.4525610257303</v>
      </c>
      <c r="N534" s="530">
        <v>2307.0193998352879</v>
      </c>
      <c r="O534" s="530">
        <v>2942.6946658640045</v>
      </c>
      <c r="P534" s="530">
        <v>2115.2944106542909</v>
      </c>
      <c r="Q534" s="530">
        <v>1966.2464526662457</v>
      </c>
      <c r="R534" s="530">
        <v>660.60803066873598</v>
      </c>
      <c r="S534" s="530">
        <v>550.10174626815126</v>
      </c>
      <c r="T534" s="530">
        <v>1180.4507898140316</v>
      </c>
      <c r="U534" s="530" t="s">
        <v>59</v>
      </c>
    </row>
    <row r="535" spans="1:21" ht="13.8" x14ac:dyDescent="0.3">
      <c r="A535" s="530" t="str">
        <f t="shared" si="16"/>
        <v>North Wales.2021.Visitor Days.Serviced Accommodation</v>
      </c>
      <c r="B535" s="530" t="s">
        <v>220</v>
      </c>
      <c r="C535" s="530" t="str">
        <f t="shared" si="17"/>
        <v>2021.Visitor Days.Serviced Accommodation</v>
      </c>
      <c r="D535" s="530" t="s">
        <v>247</v>
      </c>
      <c r="E535" s="530" t="s">
        <v>171</v>
      </c>
      <c r="F535" s="530" t="s">
        <v>43</v>
      </c>
      <c r="G535" s="530" t="s">
        <v>43</v>
      </c>
      <c r="H535" s="530">
        <v>0</v>
      </c>
      <c r="I535" s="530">
        <v>0</v>
      </c>
      <c r="J535" s="530">
        <v>0</v>
      </c>
      <c r="K535" s="530">
        <v>0</v>
      </c>
      <c r="L535" s="530">
        <v>154.14326311810629</v>
      </c>
      <c r="M535" s="530">
        <v>427.95864266605054</v>
      </c>
      <c r="N535" s="530">
        <v>560.40180273746159</v>
      </c>
      <c r="O535" s="530">
        <v>638.27864912267762</v>
      </c>
      <c r="P535" s="530">
        <v>471.78103059103125</v>
      </c>
      <c r="Q535" s="530">
        <v>380.32370664379607</v>
      </c>
      <c r="R535" s="530">
        <v>363.11223184518752</v>
      </c>
      <c r="S535" s="530">
        <v>245.45283716636774</v>
      </c>
      <c r="T535" s="530">
        <v>3241.4521638906785</v>
      </c>
      <c r="U535" s="530" t="s">
        <v>61</v>
      </c>
    </row>
    <row r="536" spans="1:21" ht="13.8" x14ac:dyDescent="0.3">
      <c r="A536" s="530" t="str">
        <f t="shared" si="16"/>
        <v>North Wales.2021.Visitor Days.Non-Serviced Accommodation</v>
      </c>
      <c r="B536" s="530" t="s">
        <v>220</v>
      </c>
      <c r="C536" s="530" t="str">
        <f t="shared" si="17"/>
        <v>2021.Visitor Days.Non-Serviced Accommodation</v>
      </c>
      <c r="D536" s="530" t="s">
        <v>247</v>
      </c>
      <c r="E536" s="530" t="s">
        <v>171</v>
      </c>
      <c r="F536" s="530" t="s">
        <v>48</v>
      </c>
      <c r="G536" s="530" t="s">
        <v>48</v>
      </c>
      <c r="H536" s="530">
        <v>2.9529817932835676</v>
      </c>
      <c r="I536" s="530">
        <v>2.7103023899329646</v>
      </c>
      <c r="J536" s="530">
        <v>508.11840991898691</v>
      </c>
      <c r="K536" s="530">
        <v>2250.1004394382862</v>
      </c>
      <c r="L536" s="530">
        <v>2203.5746568020081</v>
      </c>
      <c r="M536" s="530">
        <v>3176.2264189800653</v>
      </c>
      <c r="N536" s="530">
        <v>4596.4560349611929</v>
      </c>
      <c r="O536" s="530">
        <v>6466.0665375173039</v>
      </c>
      <c r="P536" s="530">
        <v>5356.400270605227</v>
      </c>
      <c r="Q536" s="530">
        <v>5251.1824587693691</v>
      </c>
      <c r="R536" s="530">
        <v>1140.004583317675</v>
      </c>
      <c r="S536" s="530">
        <v>1104.1115432295287</v>
      </c>
      <c r="T536" s="530">
        <v>32057.904637722862</v>
      </c>
      <c r="U536" s="530" t="s">
        <v>61</v>
      </c>
    </row>
    <row r="537" spans="1:21" ht="13.8" x14ac:dyDescent="0.3">
      <c r="A537" s="530" t="str">
        <f t="shared" si="16"/>
        <v>North Wales.2021.Visitor Days.SFR</v>
      </c>
      <c r="B537" s="530" t="s">
        <v>220</v>
      </c>
      <c r="C537" s="530" t="str">
        <f t="shared" si="17"/>
        <v>2021.Visitor Days.SFR</v>
      </c>
      <c r="D537" s="530" t="s">
        <v>247</v>
      </c>
      <c r="E537" s="530" t="s">
        <v>171</v>
      </c>
      <c r="F537" s="530" t="s">
        <v>18</v>
      </c>
      <c r="G537" s="530" t="s">
        <v>18</v>
      </c>
      <c r="H537" s="530">
        <v>0</v>
      </c>
      <c r="I537" s="530">
        <v>0</v>
      </c>
      <c r="J537" s="530">
        <v>0</v>
      </c>
      <c r="K537" s="530">
        <v>0</v>
      </c>
      <c r="L537" s="530">
        <v>21.100829999999998</v>
      </c>
      <c r="M537" s="530">
        <v>16.254353000454547</v>
      </c>
      <c r="N537" s="530">
        <v>131.88018750000001</v>
      </c>
      <c r="O537" s="530">
        <v>139.60756721363634</v>
      </c>
      <c r="P537" s="530">
        <v>71.9092308184091</v>
      </c>
      <c r="Q537" s="530">
        <v>71.838734863636375</v>
      </c>
      <c r="R537" s="530">
        <v>55.977145039772708</v>
      </c>
      <c r="S537" s="530">
        <v>162.09273954545455</v>
      </c>
      <c r="T537" s="530">
        <v>670.66078798136368</v>
      </c>
      <c r="U537" s="530" t="s">
        <v>61</v>
      </c>
    </row>
    <row r="538" spans="1:21" ht="13.8" x14ac:dyDescent="0.3">
      <c r="A538" s="530" t="str">
        <f t="shared" si="16"/>
        <v>North Wales.2021.Visitor Days.Day Visitor</v>
      </c>
      <c r="B538" s="530" t="s">
        <v>220</v>
      </c>
      <c r="C538" s="530" t="str">
        <f t="shared" si="17"/>
        <v>2021.Visitor Days.Day Visitor</v>
      </c>
      <c r="D538" s="530" t="s">
        <v>247</v>
      </c>
      <c r="E538" s="530" t="s">
        <v>171</v>
      </c>
      <c r="F538" s="530" t="s">
        <v>71</v>
      </c>
      <c r="G538" s="530" t="s">
        <v>71</v>
      </c>
      <c r="H538" s="530">
        <v>0</v>
      </c>
      <c r="I538" s="530">
        <v>0</v>
      </c>
      <c r="J538" s="530">
        <v>376.50365505801278</v>
      </c>
      <c r="K538" s="530">
        <v>1474.0632925263212</v>
      </c>
      <c r="L538" s="530">
        <v>1555.5083858227547</v>
      </c>
      <c r="M538" s="530">
        <v>2112.2198069241331</v>
      </c>
      <c r="N538" s="530">
        <v>2790.9487874038059</v>
      </c>
      <c r="O538" s="530">
        <v>3755.4810436539174</v>
      </c>
      <c r="P538" s="530">
        <v>1960.1586813839745</v>
      </c>
      <c r="Q538" s="530">
        <v>1548.9448667895717</v>
      </c>
      <c r="R538" s="530">
        <v>816.5132897462712</v>
      </c>
      <c r="S538" s="530">
        <v>524.9011216996829</v>
      </c>
      <c r="T538" s="530">
        <v>16915.242931008448</v>
      </c>
      <c r="U538" s="530" t="s">
        <v>61</v>
      </c>
    </row>
    <row r="539" spans="1:21" ht="13.8" x14ac:dyDescent="0.3">
      <c r="A539" s="530" t="str">
        <f t="shared" si="16"/>
        <v>North Wales.2021.Visitor Days.Total</v>
      </c>
      <c r="B539" s="530" t="s">
        <v>220</v>
      </c>
      <c r="C539" s="530" t="str">
        <f t="shared" si="17"/>
        <v>2021.Visitor Days.Total</v>
      </c>
      <c r="D539" s="530" t="s">
        <v>247</v>
      </c>
      <c r="E539" s="530" t="s">
        <v>171</v>
      </c>
      <c r="F539" s="530" t="s">
        <v>54</v>
      </c>
      <c r="G539" s="530" t="s">
        <v>54</v>
      </c>
      <c r="H539" s="530">
        <v>2.9529817932835676</v>
      </c>
      <c r="I539" s="530">
        <v>2.7103023899329646</v>
      </c>
      <c r="J539" s="530">
        <v>884.6220649769997</v>
      </c>
      <c r="K539" s="530">
        <v>3724.1637319646075</v>
      </c>
      <c r="L539" s="530">
        <v>3934.3271357428694</v>
      </c>
      <c r="M539" s="530">
        <v>5732.6592215707042</v>
      </c>
      <c r="N539" s="530">
        <v>8079.6868126024601</v>
      </c>
      <c r="O539" s="530">
        <v>10999.433797507536</v>
      </c>
      <c r="P539" s="530">
        <v>7860.2492133986416</v>
      </c>
      <c r="Q539" s="530">
        <v>7252.2897670663733</v>
      </c>
      <c r="R539" s="530">
        <v>2375.6072499489064</v>
      </c>
      <c r="S539" s="530">
        <v>2036.5582416410339</v>
      </c>
      <c r="T539" s="530">
        <v>52885.26052060334</v>
      </c>
      <c r="U539" s="530" t="s">
        <v>61</v>
      </c>
    </row>
    <row r="540" spans="1:21" ht="13.8" x14ac:dyDescent="0.3">
      <c r="A540" s="530" t="str">
        <f t="shared" si="16"/>
        <v>North Wales.2021.Visitor Numbers.Serviced Accommodation</v>
      </c>
      <c r="B540" s="530" t="s">
        <v>220</v>
      </c>
      <c r="C540" s="530" t="str">
        <f t="shared" si="17"/>
        <v>2021.Visitor Numbers.Serviced Accommodation</v>
      </c>
      <c r="D540" s="530" t="s">
        <v>247</v>
      </c>
      <c r="E540" s="530" t="s">
        <v>172</v>
      </c>
      <c r="F540" s="530" t="s">
        <v>43</v>
      </c>
      <c r="G540" s="530" t="s">
        <v>43</v>
      </c>
      <c r="H540" s="530">
        <v>0</v>
      </c>
      <c r="I540" s="530">
        <v>0</v>
      </c>
      <c r="J540" s="530">
        <v>0</v>
      </c>
      <c r="K540" s="530">
        <v>0</v>
      </c>
      <c r="L540" s="530">
        <v>81.777027284354261</v>
      </c>
      <c r="M540" s="530">
        <v>240.86266059850496</v>
      </c>
      <c r="N540" s="530">
        <v>320.66560288219796</v>
      </c>
      <c r="O540" s="530">
        <v>364.89685311361745</v>
      </c>
      <c r="P540" s="530">
        <v>240.39378929240121</v>
      </c>
      <c r="Q540" s="530">
        <v>219.66040306279365</v>
      </c>
      <c r="R540" s="530">
        <v>211.60997232358895</v>
      </c>
      <c r="S540" s="530">
        <v>149.76955791153389</v>
      </c>
      <c r="T540" s="530">
        <v>1829.6358664689922</v>
      </c>
      <c r="U540" s="530" t="s">
        <v>61</v>
      </c>
    </row>
    <row r="541" spans="1:21" ht="13.8" x14ac:dyDescent="0.3">
      <c r="A541" s="530" t="str">
        <f t="shared" si="16"/>
        <v>North Wales.2021.Visitor Numbers.Non-Serviced Accommodation</v>
      </c>
      <c r="B541" s="530" t="s">
        <v>220</v>
      </c>
      <c r="C541" s="530" t="str">
        <f t="shared" si="17"/>
        <v>2021.Visitor Numbers.Non-Serviced Accommodation</v>
      </c>
      <c r="D541" s="530" t="s">
        <v>247</v>
      </c>
      <c r="E541" s="530" t="s">
        <v>172</v>
      </c>
      <c r="F541" s="530" t="s">
        <v>48</v>
      </c>
      <c r="G541" s="530" t="s">
        <v>48</v>
      </c>
      <c r="H541" s="530">
        <v>0.86852405684810818</v>
      </c>
      <c r="I541" s="530">
        <v>0.67757559748324114</v>
      </c>
      <c r="J541" s="530">
        <v>106.87171568368505</v>
      </c>
      <c r="K541" s="530">
        <v>369.13604112307274</v>
      </c>
      <c r="L541" s="530">
        <v>340.84726868326572</v>
      </c>
      <c r="M541" s="530">
        <v>478.70269368333641</v>
      </c>
      <c r="N541" s="530">
        <v>671.111217263311</v>
      </c>
      <c r="O541" s="530">
        <v>871.48021832579639</v>
      </c>
      <c r="P541" s="530">
        <v>810.34111681473723</v>
      </c>
      <c r="Q541" s="530">
        <v>787.65373747002673</v>
      </c>
      <c r="R541" s="530">
        <v>275.01097797397489</v>
      </c>
      <c r="S541" s="530">
        <v>217.20055946623657</v>
      </c>
      <c r="T541" s="530">
        <v>4929.901646141775</v>
      </c>
      <c r="U541" s="530" t="s">
        <v>61</v>
      </c>
    </row>
    <row r="542" spans="1:21" ht="13.8" x14ac:dyDescent="0.3">
      <c r="A542" s="530" t="str">
        <f t="shared" si="16"/>
        <v>North Wales.2021.Visitor Numbers.SFR</v>
      </c>
      <c r="B542" s="530" t="s">
        <v>220</v>
      </c>
      <c r="C542" s="530" t="str">
        <f t="shared" si="17"/>
        <v>2021.Visitor Numbers.SFR</v>
      </c>
      <c r="D542" s="530" t="s">
        <v>247</v>
      </c>
      <c r="E542" s="530" t="s">
        <v>172</v>
      </c>
      <c r="F542" s="530" t="s">
        <v>18</v>
      </c>
      <c r="G542" s="530" t="s">
        <v>18</v>
      </c>
      <c r="H542" s="530">
        <v>0</v>
      </c>
      <c r="I542" s="530">
        <v>0</v>
      </c>
      <c r="J542" s="530">
        <v>0</v>
      </c>
      <c r="K542" s="530">
        <v>0</v>
      </c>
      <c r="L542" s="530">
        <v>9.5912863636363639</v>
      </c>
      <c r="M542" s="530">
        <v>7.7401680954545462</v>
      </c>
      <c r="N542" s="530">
        <v>52.752075000000005</v>
      </c>
      <c r="O542" s="530">
        <v>53.695218159090906</v>
      </c>
      <c r="P542" s="530">
        <v>33.137894386363634</v>
      </c>
      <c r="Q542" s="530">
        <v>33.56950227272727</v>
      </c>
      <c r="R542" s="530">
        <v>27.57494829545454</v>
      </c>
      <c r="S542" s="530">
        <v>62.343361363636362</v>
      </c>
      <c r="T542" s="530">
        <v>280.40445393636361</v>
      </c>
      <c r="U542" s="530" t="s">
        <v>61</v>
      </c>
    </row>
    <row r="543" spans="1:21" ht="13.8" x14ac:dyDescent="0.3">
      <c r="A543" s="530" t="str">
        <f t="shared" si="16"/>
        <v>North Wales.2021.Visitor Numbers.Day Visitor</v>
      </c>
      <c r="B543" s="530" t="s">
        <v>220</v>
      </c>
      <c r="C543" s="530" t="str">
        <f t="shared" si="17"/>
        <v>2021.Visitor Numbers.Day Visitor</v>
      </c>
      <c r="D543" s="530" t="s">
        <v>247</v>
      </c>
      <c r="E543" s="530" t="s">
        <v>172</v>
      </c>
      <c r="F543" s="530" t="s">
        <v>71</v>
      </c>
      <c r="G543" s="530" t="s">
        <v>71</v>
      </c>
      <c r="H543" s="530">
        <v>0</v>
      </c>
      <c r="I543" s="530">
        <v>0</v>
      </c>
      <c r="J543" s="530">
        <v>376.50365505801278</v>
      </c>
      <c r="K543" s="530">
        <v>1474.0632925263212</v>
      </c>
      <c r="L543" s="530">
        <v>1555.5083858227547</v>
      </c>
      <c r="M543" s="530">
        <v>2112.2198069241331</v>
      </c>
      <c r="N543" s="530">
        <v>2790.9487874038059</v>
      </c>
      <c r="O543" s="530">
        <v>3755.4810436539174</v>
      </c>
      <c r="P543" s="530">
        <v>1960.1586813839745</v>
      </c>
      <c r="Q543" s="530">
        <v>1548.9448667895717</v>
      </c>
      <c r="R543" s="530">
        <v>816.5132897462712</v>
      </c>
      <c r="S543" s="530">
        <v>524.9011216996829</v>
      </c>
      <c r="T543" s="530">
        <v>16915.242931008448</v>
      </c>
      <c r="U543" s="530" t="s">
        <v>61</v>
      </c>
    </row>
    <row r="544" spans="1:21" ht="13.8" x14ac:dyDescent="0.3">
      <c r="A544" s="530" t="str">
        <f t="shared" si="16"/>
        <v>North Wales.2021.Visitor Numbers.Total</v>
      </c>
      <c r="B544" s="530" t="s">
        <v>220</v>
      </c>
      <c r="C544" s="530" t="str">
        <f t="shared" si="17"/>
        <v>2021.Visitor Numbers.Total</v>
      </c>
      <c r="D544" s="530" t="s">
        <v>247</v>
      </c>
      <c r="E544" s="530" t="s">
        <v>172</v>
      </c>
      <c r="F544" s="530" t="s">
        <v>54</v>
      </c>
      <c r="G544" s="530" t="s">
        <v>54</v>
      </c>
      <c r="H544" s="530">
        <v>0.86852405684810818</v>
      </c>
      <c r="I544" s="530">
        <v>0.67757559748324114</v>
      </c>
      <c r="J544" s="530">
        <v>483.37537074169785</v>
      </c>
      <c r="K544" s="530">
        <v>1843.199333649394</v>
      </c>
      <c r="L544" s="530">
        <v>1987.7239681540111</v>
      </c>
      <c r="M544" s="530">
        <v>2839.5253293014289</v>
      </c>
      <c r="N544" s="530">
        <v>3835.477682549315</v>
      </c>
      <c r="O544" s="530">
        <v>5045.5533332524219</v>
      </c>
      <c r="P544" s="530">
        <v>3044.0314818774764</v>
      </c>
      <c r="Q544" s="530">
        <v>2589.8285095951196</v>
      </c>
      <c r="R544" s="530">
        <v>1330.7091883392895</v>
      </c>
      <c r="S544" s="530">
        <v>954.21460044108971</v>
      </c>
      <c r="T544" s="530">
        <v>23955.184897555573</v>
      </c>
      <c r="U544" s="530" t="s">
        <v>61</v>
      </c>
    </row>
    <row r="545" spans="1:21" ht="13.8" x14ac:dyDescent="0.3">
      <c r="A545" s="530" t="str">
        <f t="shared" si="16"/>
        <v>North Wales.2021.Vehicle Days.Serviced Accommodation</v>
      </c>
      <c r="B545" s="530" t="s">
        <v>220</v>
      </c>
      <c r="C545" s="530" t="str">
        <f t="shared" si="17"/>
        <v>2021.Vehicle Days.Serviced Accommodation</v>
      </c>
      <c r="D545" s="530" t="s">
        <v>247</v>
      </c>
      <c r="E545" s="530" t="s">
        <v>21</v>
      </c>
      <c r="F545" s="530" t="s">
        <v>43</v>
      </c>
      <c r="G545" s="530" t="s">
        <v>43</v>
      </c>
      <c r="H545" s="530">
        <v>0</v>
      </c>
      <c r="I545" s="530">
        <v>0</v>
      </c>
      <c r="J545" s="530">
        <v>0</v>
      </c>
      <c r="K545" s="530">
        <v>0</v>
      </c>
      <c r="L545" s="530">
        <v>43.321045905521387</v>
      </c>
      <c r="M545" s="530">
        <v>119.96470977069885</v>
      </c>
      <c r="N545" s="530">
        <v>146.77846767886101</v>
      </c>
      <c r="O545" s="530">
        <v>167.64713991383579</v>
      </c>
      <c r="P545" s="530">
        <v>124.00878464085631</v>
      </c>
      <c r="Q545" s="530">
        <v>116.89486679202213</v>
      </c>
      <c r="R545" s="530">
        <v>112.88778631300241</v>
      </c>
      <c r="S545" s="530">
        <v>64.775800952823673</v>
      </c>
      <c r="T545" s="530">
        <v>896.27860196762151</v>
      </c>
      <c r="U545" s="530" t="s">
        <v>61</v>
      </c>
    </row>
    <row r="546" spans="1:21" ht="13.8" x14ac:dyDescent="0.3">
      <c r="A546" s="530" t="str">
        <f t="shared" si="16"/>
        <v>North Wales.2021.Vehicle Days.Non-Serviced Accommodation</v>
      </c>
      <c r="B546" s="530" t="s">
        <v>220</v>
      </c>
      <c r="C546" s="530" t="str">
        <f t="shared" si="17"/>
        <v>2021.Vehicle Days.Non-Serviced Accommodation</v>
      </c>
      <c r="D546" s="530" t="s">
        <v>247</v>
      </c>
      <c r="E546" s="530" t="s">
        <v>21</v>
      </c>
      <c r="F546" s="530" t="s">
        <v>48</v>
      </c>
      <c r="G546" s="530" t="s">
        <v>48</v>
      </c>
      <c r="H546" s="530">
        <v>0.76080491050562593</v>
      </c>
      <c r="I546" s="530">
        <v>0.8862798543922491</v>
      </c>
      <c r="J546" s="530">
        <v>140.8975245438902</v>
      </c>
      <c r="K546" s="530">
        <v>605.81901468641649</v>
      </c>
      <c r="L546" s="530">
        <v>620.62384225932044</v>
      </c>
      <c r="M546" s="530">
        <v>916.94510759764273</v>
      </c>
      <c r="N546" s="530">
        <v>1209.4386819178119</v>
      </c>
      <c r="O546" s="530">
        <v>1608.8563061368309</v>
      </c>
      <c r="P546" s="530">
        <v>1414.7796758011768</v>
      </c>
      <c r="Q546" s="530">
        <v>1364.2280990715199</v>
      </c>
      <c r="R546" s="530">
        <v>317.92615973877264</v>
      </c>
      <c r="S546" s="530">
        <v>258.92991499233375</v>
      </c>
      <c r="T546" s="530">
        <v>8460.0914115106134</v>
      </c>
      <c r="U546" s="530" t="s">
        <v>61</v>
      </c>
    </row>
    <row r="547" spans="1:21" ht="13.8" x14ac:dyDescent="0.3">
      <c r="A547" s="530" t="str">
        <f t="shared" si="16"/>
        <v>North Wales.2021.Vehicle Days.SFR</v>
      </c>
      <c r="B547" s="530" t="s">
        <v>220</v>
      </c>
      <c r="C547" s="530" t="str">
        <f t="shared" si="17"/>
        <v>2021.Vehicle Days.SFR</v>
      </c>
      <c r="D547" s="530" t="s">
        <v>247</v>
      </c>
      <c r="E547" s="530" t="s">
        <v>21</v>
      </c>
      <c r="F547" s="530" t="s">
        <v>18</v>
      </c>
      <c r="G547" s="530" t="s">
        <v>18</v>
      </c>
      <c r="H547" s="530">
        <v>0</v>
      </c>
      <c r="I547" s="530">
        <v>0</v>
      </c>
      <c r="J547" s="530">
        <v>0</v>
      </c>
      <c r="K547" s="530">
        <v>0</v>
      </c>
      <c r="L547" s="530">
        <v>6.4947235999999995</v>
      </c>
      <c r="M547" s="530">
        <v>5.0030036749636366</v>
      </c>
      <c r="N547" s="530">
        <v>40.592022499999999</v>
      </c>
      <c r="O547" s="530">
        <v>42.970469006242425</v>
      </c>
      <c r="P547" s="530">
        <v>22.133279992027269</v>
      </c>
      <c r="Q547" s="530">
        <v>22.111581710909093</v>
      </c>
      <c r="R547" s="530">
        <v>17.229468459318177</v>
      </c>
      <c r="S547" s="530">
        <v>49.891285836363636</v>
      </c>
      <c r="T547" s="530">
        <v>206.42583477982424</v>
      </c>
      <c r="U547" s="530" t="s">
        <v>61</v>
      </c>
    </row>
    <row r="548" spans="1:21" ht="13.8" x14ac:dyDescent="0.3">
      <c r="A548" s="530" t="str">
        <f t="shared" si="16"/>
        <v>North Wales.2021.Vehicle Days.Day Visitor</v>
      </c>
      <c r="B548" s="530" t="s">
        <v>220</v>
      </c>
      <c r="C548" s="530" t="str">
        <f t="shared" si="17"/>
        <v>2021.Vehicle Days.Day Visitor</v>
      </c>
      <c r="D548" s="530" t="s">
        <v>247</v>
      </c>
      <c r="E548" s="530" t="s">
        <v>21</v>
      </c>
      <c r="F548" s="530" t="s">
        <v>71</v>
      </c>
      <c r="G548" s="530" t="s">
        <v>71</v>
      </c>
      <c r="H548" s="530">
        <v>0</v>
      </c>
      <c r="I548" s="530">
        <v>0</v>
      </c>
      <c r="J548" s="530">
        <v>94.663776128871788</v>
      </c>
      <c r="K548" s="530">
        <v>324.29392435579075</v>
      </c>
      <c r="L548" s="530">
        <v>342.21184488100607</v>
      </c>
      <c r="M548" s="530">
        <v>531.0724085980678</v>
      </c>
      <c r="N548" s="530">
        <v>614.0087332288374</v>
      </c>
      <c r="O548" s="530">
        <v>826.20582960386184</v>
      </c>
      <c r="P548" s="530">
        <v>431.23490990447436</v>
      </c>
      <c r="Q548" s="530">
        <v>389.44899507852091</v>
      </c>
      <c r="R548" s="530">
        <v>205.29476999334821</v>
      </c>
      <c r="S548" s="530">
        <v>115.47824677393024</v>
      </c>
      <c r="T548" s="530">
        <v>3873.9134385467096</v>
      </c>
      <c r="U548" s="530" t="s">
        <v>61</v>
      </c>
    </row>
    <row r="549" spans="1:21" ht="13.8" x14ac:dyDescent="0.3">
      <c r="A549" s="530" t="str">
        <f t="shared" si="16"/>
        <v>North Wales.2021.Vehicle Days.Total</v>
      </c>
      <c r="B549" s="530" t="s">
        <v>220</v>
      </c>
      <c r="C549" s="530" t="str">
        <f t="shared" si="17"/>
        <v>2021.Vehicle Days.Total</v>
      </c>
      <c r="D549" s="530" t="s">
        <v>247</v>
      </c>
      <c r="E549" s="530" t="s">
        <v>21</v>
      </c>
      <c r="F549" s="530" t="s">
        <v>54</v>
      </c>
      <c r="G549" s="530" t="s">
        <v>54</v>
      </c>
      <c r="H549" s="530">
        <v>0.76080491050562593</v>
      </c>
      <c r="I549" s="530">
        <v>0.8862798543922491</v>
      </c>
      <c r="J549" s="530">
        <v>235.561300672762</v>
      </c>
      <c r="K549" s="530">
        <v>930.11293904220724</v>
      </c>
      <c r="L549" s="530">
        <v>1012.6514566458479</v>
      </c>
      <c r="M549" s="530">
        <v>1572.9852296413728</v>
      </c>
      <c r="N549" s="530">
        <v>2010.8179053255103</v>
      </c>
      <c r="O549" s="530">
        <v>2645.6797446607711</v>
      </c>
      <c r="P549" s="530">
        <v>1992.1566503385345</v>
      </c>
      <c r="Q549" s="530">
        <v>1892.6835426529722</v>
      </c>
      <c r="R549" s="530">
        <v>653.33818450444141</v>
      </c>
      <c r="S549" s="530">
        <v>489.07524855545125</v>
      </c>
      <c r="T549" s="530">
        <v>13436.709286804769</v>
      </c>
      <c r="U549" s="530" t="s">
        <v>61</v>
      </c>
    </row>
    <row r="550" spans="1:21" ht="13.8" x14ac:dyDescent="0.3">
      <c r="A550" s="530" t="str">
        <f t="shared" si="16"/>
        <v>North Wales.2021.Vehicle Numbers.Serviced Accommodation</v>
      </c>
      <c r="B550" s="530" t="s">
        <v>220</v>
      </c>
      <c r="C550" s="530" t="str">
        <f t="shared" si="17"/>
        <v>2021.Vehicle Numbers.Serviced Accommodation</v>
      </c>
      <c r="D550" s="530" t="s">
        <v>247</v>
      </c>
      <c r="E550" s="530" t="s">
        <v>22</v>
      </c>
      <c r="F550" s="530" t="s">
        <v>43</v>
      </c>
      <c r="G550" s="530" t="s">
        <v>43</v>
      </c>
      <c r="H550" s="530">
        <v>0</v>
      </c>
      <c r="I550" s="530">
        <v>0</v>
      </c>
      <c r="J550" s="530">
        <v>0</v>
      </c>
      <c r="K550" s="530">
        <v>0</v>
      </c>
      <c r="L550" s="530">
        <v>22.958893150617492</v>
      </c>
      <c r="M550" s="530">
        <v>67.464275970540442</v>
      </c>
      <c r="N550" s="530">
        <v>84.031996881671375</v>
      </c>
      <c r="O550" s="530">
        <v>95.988301599691425</v>
      </c>
      <c r="P550" s="530">
        <v>63.215860950126306</v>
      </c>
      <c r="Q550" s="530">
        <v>67.668791368712604</v>
      </c>
      <c r="R550" s="530">
        <v>64.909775894799566</v>
      </c>
      <c r="S550" s="530">
        <v>39.573832917709247</v>
      </c>
      <c r="T550" s="530">
        <v>505.81172873386845</v>
      </c>
      <c r="U550" s="530" t="s">
        <v>61</v>
      </c>
    </row>
    <row r="551" spans="1:21" ht="13.8" x14ac:dyDescent="0.3">
      <c r="A551" s="530" t="str">
        <f t="shared" si="16"/>
        <v>North Wales.2021.Vehicle Numbers.Non-Serviced Accommodation</v>
      </c>
      <c r="B551" s="530" t="s">
        <v>220</v>
      </c>
      <c r="C551" s="530" t="str">
        <f t="shared" si="17"/>
        <v>2021.Vehicle Numbers.Non-Serviced Accommodation</v>
      </c>
      <c r="D551" s="530" t="s">
        <v>247</v>
      </c>
      <c r="E551" s="530" t="s">
        <v>22</v>
      </c>
      <c r="F551" s="530" t="s">
        <v>48</v>
      </c>
      <c r="G551" s="530" t="s">
        <v>48</v>
      </c>
      <c r="H551" s="530">
        <v>0.22376615014871357</v>
      </c>
      <c r="I551" s="530">
        <v>0.22156996359806228</v>
      </c>
      <c r="J551" s="530">
        <v>29.643152176805184</v>
      </c>
      <c r="K551" s="530">
        <v>98.899213474049603</v>
      </c>
      <c r="L551" s="530">
        <v>96.107830060607682</v>
      </c>
      <c r="M551" s="530">
        <v>138.15476881073204</v>
      </c>
      <c r="N551" s="530">
        <v>175.91829337920819</v>
      </c>
      <c r="O551" s="530">
        <v>216.18971758066778</v>
      </c>
      <c r="P551" s="530">
        <v>214.80846489276803</v>
      </c>
      <c r="Q551" s="530">
        <v>204.44274755142993</v>
      </c>
      <c r="R551" s="530">
        <v>76.67125975384576</v>
      </c>
      <c r="S551" s="530">
        <v>50.503121468900559</v>
      </c>
      <c r="T551" s="530">
        <v>1301.7839052627617</v>
      </c>
      <c r="U551" s="530" t="s">
        <v>61</v>
      </c>
    </row>
    <row r="552" spans="1:21" ht="13.8" x14ac:dyDescent="0.3">
      <c r="A552" s="530" t="str">
        <f t="shared" si="16"/>
        <v>North Wales.2021.Vehicle Numbers.SFR</v>
      </c>
      <c r="B552" s="530" t="s">
        <v>220</v>
      </c>
      <c r="C552" s="530" t="str">
        <f t="shared" si="17"/>
        <v>2021.Vehicle Numbers.SFR</v>
      </c>
      <c r="D552" s="530" t="s">
        <v>247</v>
      </c>
      <c r="E552" s="530" t="s">
        <v>22</v>
      </c>
      <c r="F552" s="530" t="s">
        <v>18</v>
      </c>
      <c r="G552" s="530" t="s">
        <v>18</v>
      </c>
      <c r="H552" s="530">
        <v>0</v>
      </c>
      <c r="I552" s="530">
        <v>0</v>
      </c>
      <c r="J552" s="530">
        <v>0</v>
      </c>
      <c r="K552" s="530">
        <v>0</v>
      </c>
      <c r="L552" s="530">
        <v>2.952147090909091</v>
      </c>
      <c r="M552" s="530">
        <v>2.3823827023636364</v>
      </c>
      <c r="N552" s="530">
        <v>16.236809000000001</v>
      </c>
      <c r="O552" s="530">
        <v>16.527103463939394</v>
      </c>
      <c r="P552" s="530">
        <v>10.199668199090908</v>
      </c>
      <c r="Q552" s="530">
        <v>10.332514818181817</v>
      </c>
      <c r="R552" s="530">
        <v>8.4874228863636354</v>
      </c>
      <c r="S552" s="530">
        <v>19.188956090909091</v>
      </c>
      <c r="T552" s="530">
        <v>86.307004251757576</v>
      </c>
      <c r="U552" s="530" t="s">
        <v>61</v>
      </c>
    </row>
    <row r="553" spans="1:21" ht="13.8" x14ac:dyDescent="0.3">
      <c r="A553" s="530" t="str">
        <f t="shared" si="16"/>
        <v>North Wales.2021.Vehicle Numbers.Day Visitor</v>
      </c>
      <c r="B553" s="530" t="s">
        <v>220</v>
      </c>
      <c r="C553" s="530" t="str">
        <f t="shared" si="17"/>
        <v>2021.Vehicle Numbers.Day Visitor</v>
      </c>
      <c r="D553" s="530" t="s">
        <v>247</v>
      </c>
      <c r="E553" s="530" t="s">
        <v>22</v>
      </c>
      <c r="F553" s="530" t="s">
        <v>71</v>
      </c>
      <c r="G553" s="530" t="s">
        <v>71</v>
      </c>
      <c r="H553" s="530">
        <v>0</v>
      </c>
      <c r="I553" s="530">
        <v>0</v>
      </c>
      <c r="J553" s="530">
        <v>94.663776128871788</v>
      </c>
      <c r="K553" s="530">
        <v>324.29392435579075</v>
      </c>
      <c r="L553" s="530">
        <v>342.21184488100607</v>
      </c>
      <c r="M553" s="530">
        <v>531.0724085980678</v>
      </c>
      <c r="N553" s="530">
        <v>614.0087332288374</v>
      </c>
      <c r="O553" s="530">
        <v>826.20582960386184</v>
      </c>
      <c r="P553" s="530">
        <v>431.23490990447436</v>
      </c>
      <c r="Q553" s="530">
        <v>389.44899507852091</v>
      </c>
      <c r="R553" s="530">
        <v>205.29476999334821</v>
      </c>
      <c r="S553" s="530">
        <v>115.47824677393024</v>
      </c>
      <c r="T553" s="530">
        <v>3873.9134385467096</v>
      </c>
      <c r="U553" s="530" t="s">
        <v>61</v>
      </c>
    </row>
    <row r="554" spans="1:21" ht="13.8" x14ac:dyDescent="0.3">
      <c r="A554" s="530" t="str">
        <f t="shared" si="16"/>
        <v>North Wales.2021.Vehicle Numbers.Total</v>
      </c>
      <c r="B554" s="530" t="s">
        <v>220</v>
      </c>
      <c r="C554" s="530" t="str">
        <f t="shared" si="17"/>
        <v>2021.Vehicle Numbers.Total</v>
      </c>
      <c r="D554" s="530" t="s">
        <v>247</v>
      </c>
      <c r="E554" s="530" t="s">
        <v>22</v>
      </c>
      <c r="F554" s="530" t="s">
        <v>54</v>
      </c>
      <c r="G554" s="530" t="s">
        <v>54</v>
      </c>
      <c r="H554" s="530">
        <v>0.22376615014871357</v>
      </c>
      <c r="I554" s="530">
        <v>0.22156996359806228</v>
      </c>
      <c r="J554" s="530">
        <v>124.30692830567698</v>
      </c>
      <c r="K554" s="530">
        <v>423.19313782984034</v>
      </c>
      <c r="L554" s="530">
        <v>464.23071518314032</v>
      </c>
      <c r="M554" s="530">
        <v>739.07383608170392</v>
      </c>
      <c r="N554" s="530">
        <v>890.19583248971696</v>
      </c>
      <c r="O554" s="530">
        <v>1154.9109522481604</v>
      </c>
      <c r="P554" s="530">
        <v>719.4589039464596</v>
      </c>
      <c r="Q554" s="530">
        <v>671.89304881684529</v>
      </c>
      <c r="R554" s="530">
        <v>355.36322852835718</v>
      </c>
      <c r="S554" s="530">
        <v>224.74415725144911</v>
      </c>
      <c r="T554" s="530">
        <v>5767.8160767950967</v>
      </c>
      <c r="U554" s="530" t="s">
        <v>61</v>
      </c>
    </row>
    <row r="555" spans="1:21" ht="13.8" x14ac:dyDescent="0.3">
      <c r="A555" s="530" t="str">
        <f t="shared" si="16"/>
        <v>North Wales.2021.Accommodation.Serviced Accommodation</v>
      </c>
      <c r="B555" s="530" t="s">
        <v>220</v>
      </c>
      <c r="C555" s="530" t="str">
        <f t="shared" si="17"/>
        <v>2021.Accommodation.Serviced Accommodation</v>
      </c>
      <c r="D555" s="530" t="s">
        <v>247</v>
      </c>
      <c r="E555" s="530" t="s">
        <v>23</v>
      </c>
      <c r="F555" s="530" t="s">
        <v>43</v>
      </c>
      <c r="G555" s="530" t="s">
        <v>43</v>
      </c>
      <c r="H555" s="530">
        <v>0</v>
      </c>
      <c r="I555" s="530">
        <v>0</v>
      </c>
      <c r="J555" s="530">
        <v>0</v>
      </c>
      <c r="K555" s="530">
        <v>0</v>
      </c>
      <c r="L555" s="530">
        <v>12050.879999999997</v>
      </c>
      <c r="M555" s="530">
        <v>25111</v>
      </c>
      <c r="N555" s="530">
        <v>25131</v>
      </c>
      <c r="O555" s="530">
        <v>25131</v>
      </c>
      <c r="P555" s="530">
        <v>25111</v>
      </c>
      <c r="Q555" s="530">
        <v>25003</v>
      </c>
      <c r="R555" s="530">
        <v>24430</v>
      </c>
      <c r="S555" s="530">
        <v>23780</v>
      </c>
      <c r="T555" s="530">
        <v>25131</v>
      </c>
      <c r="U555" s="530" t="s">
        <v>58</v>
      </c>
    </row>
    <row r="556" spans="1:21" ht="13.8" x14ac:dyDescent="0.3">
      <c r="A556" s="530" t="str">
        <f t="shared" si="16"/>
        <v>North Wales.2021.Accommodation.Non-Serviced Accommodation</v>
      </c>
      <c r="B556" s="530" t="s">
        <v>220</v>
      </c>
      <c r="C556" s="530" t="str">
        <f t="shared" si="17"/>
        <v>2021.Accommodation.Non-Serviced Accommodation</v>
      </c>
      <c r="D556" s="530" t="s">
        <v>247</v>
      </c>
      <c r="E556" s="530" t="s">
        <v>23</v>
      </c>
      <c r="F556" s="530" t="s">
        <v>48</v>
      </c>
      <c r="G556" s="530" t="s">
        <v>48</v>
      </c>
      <c r="H556" s="530">
        <v>183.67577618207568</v>
      </c>
      <c r="I556" s="530">
        <v>148.55476419437915</v>
      </c>
      <c r="J556" s="530">
        <v>33248.45866155345</v>
      </c>
      <c r="K556" s="530">
        <v>236021.60119455095</v>
      </c>
      <c r="L556" s="530">
        <v>235374.49599030084</v>
      </c>
      <c r="M556" s="530">
        <v>238816.05351238706</v>
      </c>
      <c r="N556" s="530">
        <v>237549.23037460205</v>
      </c>
      <c r="O556" s="530">
        <v>236013.17180673758</v>
      </c>
      <c r="P556" s="530">
        <v>235500.17823647693</v>
      </c>
      <c r="Q556" s="530">
        <v>233979.28099630534</v>
      </c>
      <c r="R556" s="530">
        <v>137949.98277945575</v>
      </c>
      <c r="S556" s="530">
        <v>106933.81986648998</v>
      </c>
      <c r="T556" s="530">
        <v>238816.05351238706</v>
      </c>
      <c r="U556" s="530" t="s">
        <v>58</v>
      </c>
    </row>
    <row r="557" spans="1:21" ht="13.8" x14ac:dyDescent="0.3">
      <c r="A557" s="530" t="str">
        <f t="shared" si="16"/>
        <v>North Wales.2021.Accommodation.Total</v>
      </c>
      <c r="B557" s="530" t="s">
        <v>220</v>
      </c>
      <c r="C557" s="530" t="str">
        <f t="shared" si="17"/>
        <v>2021.Accommodation.Total</v>
      </c>
      <c r="D557" s="530" t="s">
        <v>247</v>
      </c>
      <c r="E557" s="530" t="s">
        <v>23</v>
      </c>
      <c r="F557" s="530" t="s">
        <v>54</v>
      </c>
      <c r="G557" s="530" t="s">
        <v>54</v>
      </c>
      <c r="H557" s="530">
        <v>183.67577618207568</v>
      </c>
      <c r="I557" s="530">
        <v>148.55476419437915</v>
      </c>
      <c r="J557" s="530">
        <v>33248.45866155345</v>
      </c>
      <c r="K557" s="530">
        <v>236021.60119455095</v>
      </c>
      <c r="L557" s="530">
        <v>247425.37599030085</v>
      </c>
      <c r="M557" s="530">
        <v>263927.05351238709</v>
      </c>
      <c r="N557" s="530">
        <v>262680.23037460202</v>
      </c>
      <c r="O557" s="530">
        <v>261144.17180673758</v>
      </c>
      <c r="P557" s="530">
        <v>260611.17823647693</v>
      </c>
      <c r="Q557" s="530">
        <v>258982.28099630534</v>
      </c>
      <c r="R557" s="530">
        <v>162379.98277945575</v>
      </c>
      <c r="S557" s="530">
        <v>130713.81986648998</v>
      </c>
      <c r="T557" s="530">
        <v>263927.05351238709</v>
      </c>
      <c r="U557" s="530" t="s">
        <v>58</v>
      </c>
    </row>
    <row r="558" spans="1:21" ht="13.8" x14ac:dyDescent="0.3">
      <c r="A558" s="530" t="str">
        <f t="shared" si="16"/>
        <v>North Wales.2021.Economic Impact.Total</v>
      </c>
      <c r="B558" s="530" t="s">
        <v>220</v>
      </c>
      <c r="C558" s="530" t="str">
        <f t="shared" si="17"/>
        <v>2021.Economic Impact.Total</v>
      </c>
      <c r="D558" s="530" t="s">
        <v>247</v>
      </c>
      <c r="E558" s="530" t="s">
        <v>17</v>
      </c>
      <c r="F558" s="530" t="s">
        <v>54</v>
      </c>
      <c r="G558" s="530" t="s">
        <v>54</v>
      </c>
      <c r="H558" s="530">
        <v>247.87456881262881</v>
      </c>
      <c r="I558" s="530">
        <v>231.30280289403635</v>
      </c>
      <c r="J558" s="530">
        <v>43871.608319884734</v>
      </c>
      <c r="K558" s="530">
        <v>160810.72074771658</v>
      </c>
      <c r="L558" s="530">
        <v>183900.36279076859</v>
      </c>
      <c r="M558" s="530">
        <v>344379.71151207259</v>
      </c>
      <c r="N558" s="530">
        <v>501856.84058940015</v>
      </c>
      <c r="O558" s="530">
        <v>617293.88370371948</v>
      </c>
      <c r="P558" s="530">
        <v>463351.12897801923</v>
      </c>
      <c r="Q558" s="530">
        <v>377790.43171435135</v>
      </c>
      <c r="R558" s="530">
        <v>154296.79445012179</v>
      </c>
      <c r="S558" s="530">
        <v>134634.20217775126</v>
      </c>
      <c r="T558" s="530">
        <v>2982664.8623555126</v>
      </c>
      <c r="U558" s="530" t="s">
        <v>57</v>
      </c>
    </row>
    <row r="559" spans="1:21" ht="13.8" x14ac:dyDescent="0.3">
      <c r="A559" s="530" t="str">
        <f t="shared" si="16"/>
        <v>North Wales.2022.Economic Impact.Indirect Expenditure</v>
      </c>
      <c r="B559" s="530" t="s">
        <v>220</v>
      </c>
      <c r="C559" s="530" t="str">
        <f t="shared" si="17"/>
        <v>2022.Economic Impact.Indirect Expenditure</v>
      </c>
      <c r="D559" s="530" t="s">
        <v>248</v>
      </c>
      <c r="E559" s="530" t="s">
        <v>17</v>
      </c>
      <c r="F559" s="530" t="s">
        <v>45</v>
      </c>
      <c r="G559" s="530" t="s">
        <v>45</v>
      </c>
      <c r="H559" s="530">
        <v>34843.013943112186</v>
      </c>
      <c r="I559" s="530">
        <v>40354.154541128679</v>
      </c>
      <c r="J559" s="530">
        <v>84526.329166029798</v>
      </c>
      <c r="K559" s="530">
        <v>97663.38780744384</v>
      </c>
      <c r="L559" s="530">
        <v>102930.94257795176</v>
      </c>
      <c r="M559" s="530">
        <v>113372.98434365408</v>
      </c>
      <c r="N559" s="530">
        <v>148322.37540753119</v>
      </c>
      <c r="O559" s="530">
        <v>160969.22663873556</v>
      </c>
      <c r="P559" s="530">
        <v>110420.13666790281</v>
      </c>
      <c r="Q559" s="530">
        <v>88303.124189171489</v>
      </c>
      <c r="R559" s="530">
        <v>49115.416875457071</v>
      </c>
      <c r="S559" s="530">
        <v>39907.237745107217</v>
      </c>
      <c r="T559" s="530">
        <v>1070728.3299032256</v>
      </c>
      <c r="U559" s="530" t="s">
        <v>57</v>
      </c>
    </row>
    <row r="560" spans="1:21" ht="13.8" x14ac:dyDescent="0.3">
      <c r="A560" s="530" t="str">
        <f t="shared" si="16"/>
        <v>North Wales.2022.Economic Impact.Direct Revenue</v>
      </c>
      <c r="B560" s="530" t="s">
        <v>220</v>
      </c>
      <c r="C560" s="530" t="str">
        <f t="shared" si="17"/>
        <v>2022.Economic Impact.Direct Revenue</v>
      </c>
      <c r="D560" s="530" t="s">
        <v>248</v>
      </c>
      <c r="E560" s="530" t="s">
        <v>17</v>
      </c>
      <c r="F560" s="530" t="s">
        <v>46</v>
      </c>
      <c r="G560" s="530" t="s">
        <v>46</v>
      </c>
      <c r="H560" s="530">
        <v>83345.704376737209</v>
      </c>
      <c r="I560" s="530">
        <v>97501.061125381646</v>
      </c>
      <c r="J560" s="530">
        <v>211545.29847324087</v>
      </c>
      <c r="K560" s="530">
        <v>234210.19206499623</v>
      </c>
      <c r="L560" s="530">
        <v>246948.0113876836</v>
      </c>
      <c r="M560" s="530">
        <v>272497.72807267652</v>
      </c>
      <c r="N560" s="530">
        <v>359643.80251281761</v>
      </c>
      <c r="O560" s="530">
        <v>390862.9515026951</v>
      </c>
      <c r="P560" s="530">
        <v>265167.10558965598</v>
      </c>
      <c r="Q560" s="530">
        <v>211017.27266106743</v>
      </c>
      <c r="R560" s="530">
        <v>118105.38727035269</v>
      </c>
      <c r="S560" s="530">
        <v>94370.076368498514</v>
      </c>
      <c r="T560" s="530">
        <v>2585214.5914058038</v>
      </c>
      <c r="U560" s="530" t="s">
        <v>57</v>
      </c>
    </row>
    <row r="561" spans="1:21" ht="13.8" x14ac:dyDescent="0.3">
      <c r="A561" s="530" t="str">
        <f t="shared" si="16"/>
        <v>North Wales.2022.Economic Impact.VAT</v>
      </c>
      <c r="B561" s="530" t="s">
        <v>220</v>
      </c>
      <c r="C561" s="530" t="str">
        <f t="shared" si="17"/>
        <v>2022.Economic Impact.VAT</v>
      </c>
      <c r="D561" s="530" t="s">
        <v>248</v>
      </c>
      <c r="E561" s="530" t="s">
        <v>17</v>
      </c>
      <c r="F561" s="530" t="s">
        <v>47</v>
      </c>
      <c r="G561" s="530" t="s">
        <v>47</v>
      </c>
      <c r="H561" s="530">
        <v>13496.799607058645</v>
      </c>
      <c r="I561" s="530">
        <v>15634.355150625022</v>
      </c>
      <c r="J561" s="530">
        <v>34495.179525420011</v>
      </c>
      <c r="K561" s="530">
        <v>46842.038412999245</v>
      </c>
      <c r="L561" s="530">
        <v>49389.602277536716</v>
      </c>
      <c r="M561" s="530">
        <v>54499.545614535309</v>
      </c>
      <c r="N561" s="530">
        <v>71928.760502563528</v>
      </c>
      <c r="O561" s="530">
        <v>78172.590300539028</v>
      </c>
      <c r="P561" s="530">
        <v>53033.421117931197</v>
      </c>
      <c r="Q561" s="530">
        <v>42203.454532213495</v>
      </c>
      <c r="R561" s="530">
        <v>23621.077454070539</v>
      </c>
      <c r="S561" s="530">
        <v>18874.015273699704</v>
      </c>
      <c r="T561" s="530">
        <v>502190.83976919251</v>
      </c>
      <c r="U561" s="530" t="s">
        <v>57</v>
      </c>
    </row>
    <row r="562" spans="1:21" ht="13.8" x14ac:dyDescent="0.3">
      <c r="A562" s="530" t="str">
        <f t="shared" si="16"/>
        <v>North Wales.2022.Economic Impact.Serviced Accommodation</v>
      </c>
      <c r="B562" s="530" t="s">
        <v>220</v>
      </c>
      <c r="C562" s="530" t="str">
        <f t="shared" si="17"/>
        <v>2022.Economic Impact.Serviced Accommodation</v>
      </c>
      <c r="D562" s="530" t="s">
        <v>248</v>
      </c>
      <c r="E562" s="530" t="s">
        <v>17</v>
      </c>
      <c r="F562" s="530" t="s">
        <v>43</v>
      </c>
      <c r="G562" s="530" t="s">
        <v>43</v>
      </c>
      <c r="H562" s="530">
        <v>20235.931133327853</v>
      </c>
      <c r="I562" s="530">
        <v>34494.389433044387</v>
      </c>
      <c r="J562" s="530">
        <v>43839.604554249818</v>
      </c>
      <c r="K562" s="530">
        <v>43602.224069591946</v>
      </c>
      <c r="L562" s="530">
        <v>54048.837087252163</v>
      </c>
      <c r="M562" s="530">
        <v>53515.297353189475</v>
      </c>
      <c r="N562" s="530">
        <v>87670.543994229418</v>
      </c>
      <c r="O562" s="530">
        <v>98109.400661880092</v>
      </c>
      <c r="P562" s="530">
        <v>70225.656276472582</v>
      </c>
      <c r="Q562" s="530">
        <v>43446.584746621644</v>
      </c>
      <c r="R562" s="530">
        <v>43655.52975325154</v>
      </c>
      <c r="S562" s="530">
        <v>32160.613853000796</v>
      </c>
      <c r="T562" s="530">
        <v>625004.61291611183</v>
      </c>
      <c r="U562" s="530" t="s">
        <v>57</v>
      </c>
    </row>
    <row r="563" spans="1:21" ht="13.8" x14ac:dyDescent="0.3">
      <c r="A563" s="530" t="str">
        <f t="shared" si="16"/>
        <v>North Wales.2022.Economic Impact.Non-Serviced Accommodation</v>
      </c>
      <c r="B563" s="530" t="s">
        <v>220</v>
      </c>
      <c r="C563" s="530" t="str">
        <f t="shared" si="17"/>
        <v>2022.Economic Impact.Non-Serviced Accommodation</v>
      </c>
      <c r="D563" s="530" t="s">
        <v>248</v>
      </c>
      <c r="E563" s="530" t="s">
        <v>17</v>
      </c>
      <c r="F563" s="530" t="s">
        <v>48</v>
      </c>
      <c r="G563" s="530" t="s">
        <v>48</v>
      </c>
      <c r="H563" s="530">
        <v>67282.303953292489</v>
      </c>
      <c r="I563" s="530">
        <v>81854.075772003867</v>
      </c>
      <c r="J563" s="530">
        <v>210270.29251130344</v>
      </c>
      <c r="K563" s="530">
        <v>223284.21609911244</v>
      </c>
      <c r="L563" s="530">
        <v>241102.84261050803</v>
      </c>
      <c r="M563" s="530">
        <v>264614.89669892145</v>
      </c>
      <c r="N563" s="530">
        <v>330598.22514771699</v>
      </c>
      <c r="O563" s="530">
        <v>329140.91064798617</v>
      </c>
      <c r="P563" s="530">
        <v>261734.82150743291</v>
      </c>
      <c r="Q563" s="530">
        <v>216940.14164460445</v>
      </c>
      <c r="R563" s="530">
        <v>104843.22717907769</v>
      </c>
      <c r="S563" s="530">
        <v>83073.926105393271</v>
      </c>
      <c r="T563" s="530">
        <v>2414739.8798773531</v>
      </c>
      <c r="U563" s="530" t="s">
        <v>57</v>
      </c>
    </row>
    <row r="564" spans="1:21" ht="13.8" x14ac:dyDescent="0.3">
      <c r="A564" s="530" t="str">
        <f t="shared" si="16"/>
        <v>North Wales.2022.Economic Impact.SFR</v>
      </c>
      <c r="B564" s="530" t="s">
        <v>220</v>
      </c>
      <c r="C564" s="530" t="str">
        <f t="shared" si="17"/>
        <v>2022.Economic Impact.SFR</v>
      </c>
      <c r="D564" s="530" t="s">
        <v>248</v>
      </c>
      <c r="E564" s="530" t="s">
        <v>17</v>
      </c>
      <c r="F564" s="530" t="s">
        <v>18</v>
      </c>
      <c r="G564" s="530" t="s">
        <v>18</v>
      </c>
      <c r="H564" s="530">
        <v>16430.262495534884</v>
      </c>
      <c r="I564" s="530">
        <v>5520.5681984997218</v>
      </c>
      <c r="J564" s="530">
        <v>6280.0114427377794</v>
      </c>
      <c r="K564" s="530">
        <v>14984.399395927816</v>
      </c>
      <c r="L564" s="530">
        <v>9639.087330713799</v>
      </c>
      <c r="M564" s="530">
        <v>7425.1642269821259</v>
      </c>
      <c r="N564" s="530">
        <v>12048.859163392252</v>
      </c>
      <c r="O564" s="530">
        <v>12754.849286978168</v>
      </c>
      <c r="P564" s="530">
        <v>6569.7828544479189</v>
      </c>
      <c r="Q564" s="530">
        <v>6563.3421915496683</v>
      </c>
      <c r="R564" s="530">
        <v>5114.1930394434912</v>
      </c>
      <c r="S564" s="530">
        <v>14809.143262642112</v>
      </c>
      <c r="T564" s="530">
        <v>118139.66288884974</v>
      </c>
      <c r="U564" s="530" t="s">
        <v>57</v>
      </c>
    </row>
    <row r="565" spans="1:21" ht="13.8" x14ac:dyDescent="0.3">
      <c r="A565" s="530" t="str">
        <f t="shared" si="16"/>
        <v>North Wales.2022.Economic Impact.Day Visitor</v>
      </c>
      <c r="B565" s="530" t="s">
        <v>220</v>
      </c>
      <c r="C565" s="530" t="str">
        <f t="shared" si="17"/>
        <v>2022.Economic Impact.Day Visitor</v>
      </c>
      <c r="D565" s="530" t="s">
        <v>248</v>
      </c>
      <c r="E565" s="530" t="s">
        <v>17</v>
      </c>
      <c r="F565" s="530" t="s">
        <v>71</v>
      </c>
      <c r="G565" s="530" t="s">
        <v>71</v>
      </c>
      <c r="H565" s="530">
        <v>27737.020344752826</v>
      </c>
      <c r="I565" s="530">
        <v>31620.537413587364</v>
      </c>
      <c r="J565" s="530">
        <v>70176.898656399659</v>
      </c>
      <c r="K565" s="530">
        <v>96844.77872080708</v>
      </c>
      <c r="L565" s="530">
        <v>94477.789214698103</v>
      </c>
      <c r="M565" s="530">
        <v>114814.89975177284</v>
      </c>
      <c r="N565" s="530">
        <v>149577.31011757368</v>
      </c>
      <c r="O565" s="530">
        <v>189999.60784512528</v>
      </c>
      <c r="P565" s="530">
        <v>90090.40273713661</v>
      </c>
      <c r="Q565" s="530">
        <v>74573.782799676657</v>
      </c>
      <c r="R565" s="530">
        <v>37228.931628107581</v>
      </c>
      <c r="S565" s="530">
        <v>23107.646166269238</v>
      </c>
      <c r="T565" s="530">
        <v>1000249.6053959068</v>
      </c>
      <c r="U565" s="530" t="s">
        <v>57</v>
      </c>
    </row>
    <row r="566" spans="1:21" ht="13.8" x14ac:dyDescent="0.3">
      <c r="A566" s="530" t="str">
        <f t="shared" si="16"/>
        <v>North Wales.2022.Economic Impact.Accommodation</v>
      </c>
      <c r="B566" s="530" t="s">
        <v>220</v>
      </c>
      <c r="C566" s="530" t="str">
        <f t="shared" si="17"/>
        <v>2022.Economic Impact.Accommodation</v>
      </c>
      <c r="D566" s="530" t="s">
        <v>248</v>
      </c>
      <c r="E566" s="530" t="s">
        <v>17</v>
      </c>
      <c r="F566" s="530" t="s">
        <v>23</v>
      </c>
      <c r="G566" s="530" t="s">
        <v>23</v>
      </c>
      <c r="H566" s="530">
        <v>22094.762496213807</v>
      </c>
      <c r="I566" s="530">
        <v>29816.538009004355</v>
      </c>
      <c r="J566" s="530">
        <v>48298.467912005726</v>
      </c>
      <c r="K566" s="530">
        <v>48823.980328928301</v>
      </c>
      <c r="L566" s="530">
        <v>53377.751517947443</v>
      </c>
      <c r="M566" s="530">
        <v>55738.684668676447</v>
      </c>
      <c r="N566" s="530">
        <v>95138.080344332469</v>
      </c>
      <c r="O566" s="530">
        <v>99460.250642370884</v>
      </c>
      <c r="P566" s="530">
        <v>82454.677990644501</v>
      </c>
      <c r="Q566" s="530">
        <v>47283.798334092957</v>
      </c>
      <c r="R566" s="530">
        <v>36321.353369159056</v>
      </c>
      <c r="S566" s="530">
        <v>32063.179030269283</v>
      </c>
      <c r="T566" s="530">
        <v>650871.52464364516</v>
      </c>
      <c r="U566" s="530" t="s">
        <v>57</v>
      </c>
    </row>
    <row r="567" spans="1:21" ht="13.8" x14ac:dyDescent="0.3">
      <c r="A567" s="530" t="str">
        <f t="shared" si="16"/>
        <v>North Wales.2022.Economic Impact.Food &amp; Drink</v>
      </c>
      <c r="B567" s="530" t="s">
        <v>220</v>
      </c>
      <c r="C567" s="530" t="str">
        <f t="shared" si="17"/>
        <v>2022.Economic Impact.Food &amp; Drink</v>
      </c>
      <c r="D567" s="530" t="s">
        <v>248</v>
      </c>
      <c r="E567" s="530" t="s">
        <v>17</v>
      </c>
      <c r="F567" s="530" t="s">
        <v>49</v>
      </c>
      <c r="G567" s="530" t="s">
        <v>49</v>
      </c>
      <c r="H567" s="530">
        <v>20662.192757356144</v>
      </c>
      <c r="I567" s="530">
        <v>21887.52431243458</v>
      </c>
      <c r="J567" s="530">
        <v>54157.017108975881</v>
      </c>
      <c r="K567" s="530">
        <v>59711.887744290631</v>
      </c>
      <c r="L567" s="530">
        <v>62885.326365883942</v>
      </c>
      <c r="M567" s="530">
        <v>69062.801236372077</v>
      </c>
      <c r="N567" s="530">
        <v>85142.094091580293</v>
      </c>
      <c r="O567" s="530">
        <v>92244.933817556725</v>
      </c>
      <c r="P567" s="530">
        <v>59524.467626408761</v>
      </c>
      <c r="Q567" s="530">
        <v>53782.021777942668</v>
      </c>
      <c r="R567" s="530">
        <v>27089.843966595254</v>
      </c>
      <c r="S567" s="530">
        <v>21419.359333520522</v>
      </c>
      <c r="T567" s="530">
        <v>627569.47013891744</v>
      </c>
      <c r="U567" s="530" t="s">
        <v>57</v>
      </c>
    </row>
    <row r="568" spans="1:21" ht="13.8" x14ac:dyDescent="0.3">
      <c r="A568" s="530" t="str">
        <f t="shared" si="16"/>
        <v>North Wales.2022.Economic Impact.Recreation</v>
      </c>
      <c r="B568" s="530" t="s">
        <v>220</v>
      </c>
      <c r="C568" s="530" t="str">
        <f t="shared" si="17"/>
        <v>2022.Economic Impact.Recreation</v>
      </c>
      <c r="D568" s="530" t="s">
        <v>248</v>
      </c>
      <c r="E568" s="530" t="s">
        <v>17</v>
      </c>
      <c r="F568" s="530" t="s">
        <v>50</v>
      </c>
      <c r="G568" s="530" t="s">
        <v>50</v>
      </c>
      <c r="H568" s="530">
        <v>6275.3020172707529</v>
      </c>
      <c r="I568" s="530">
        <v>7083.4396658050173</v>
      </c>
      <c r="J568" s="530">
        <v>20358.450905739301</v>
      </c>
      <c r="K568" s="530">
        <v>19385.538532828628</v>
      </c>
      <c r="L568" s="530">
        <v>20103.839203495812</v>
      </c>
      <c r="M568" s="530">
        <v>23525.120947541171</v>
      </c>
      <c r="N568" s="530">
        <v>27476.05341081394</v>
      </c>
      <c r="O568" s="530">
        <v>29342.54498891046</v>
      </c>
      <c r="P568" s="530">
        <v>19208.569929725163</v>
      </c>
      <c r="Q568" s="530">
        <v>17995.705956089048</v>
      </c>
      <c r="R568" s="530">
        <v>9106.7178317234993</v>
      </c>
      <c r="S568" s="530">
        <v>6770.6245745141132</v>
      </c>
      <c r="T568" s="530">
        <v>206631.90796445691</v>
      </c>
      <c r="U568" s="530" t="s">
        <v>57</v>
      </c>
    </row>
    <row r="569" spans="1:21" ht="13.8" x14ac:dyDescent="0.3">
      <c r="A569" s="530" t="str">
        <f t="shared" si="16"/>
        <v>North Wales.2022.Economic Impact.Shopping</v>
      </c>
      <c r="B569" s="530" t="s">
        <v>220</v>
      </c>
      <c r="C569" s="530" t="str">
        <f t="shared" si="17"/>
        <v>2022.Economic Impact.Shopping</v>
      </c>
      <c r="D569" s="530" t="s">
        <v>248</v>
      </c>
      <c r="E569" s="530" t="s">
        <v>17</v>
      </c>
      <c r="F569" s="530" t="s">
        <v>51</v>
      </c>
      <c r="G569" s="530" t="s">
        <v>51</v>
      </c>
      <c r="H569" s="530">
        <v>26274.26839765811</v>
      </c>
      <c r="I569" s="530">
        <v>29513.311974694883</v>
      </c>
      <c r="J569" s="530">
        <v>65009.878435152204</v>
      </c>
      <c r="K569" s="530">
        <v>79431.728718900413</v>
      </c>
      <c r="L569" s="530">
        <v>82562.338460151383</v>
      </c>
      <c r="M569" s="530">
        <v>92451.229858128732</v>
      </c>
      <c r="N569" s="530">
        <v>113765.30652949316</v>
      </c>
      <c r="O569" s="530">
        <v>128643.57636531645</v>
      </c>
      <c r="P569" s="530">
        <v>77669.923901892558</v>
      </c>
      <c r="Q569" s="530">
        <v>68191.265472530387</v>
      </c>
      <c r="R569" s="530">
        <v>33900.573687954216</v>
      </c>
      <c r="S569" s="530">
        <v>25419.364277261506</v>
      </c>
      <c r="T569" s="530">
        <v>822832.76607913396</v>
      </c>
      <c r="U569" s="530" t="s">
        <v>57</v>
      </c>
    </row>
    <row r="570" spans="1:21" ht="13.8" x14ac:dyDescent="0.3">
      <c r="A570" s="530" t="str">
        <f t="shared" si="16"/>
        <v>North Wales.2022.Economic Impact.Transport</v>
      </c>
      <c r="B570" s="530" t="s">
        <v>220</v>
      </c>
      <c r="C570" s="530" t="str">
        <f t="shared" si="17"/>
        <v>2022.Economic Impact.Transport</v>
      </c>
      <c r="D570" s="530" t="s">
        <v>248</v>
      </c>
      <c r="E570" s="530" t="s">
        <v>17</v>
      </c>
      <c r="F570" s="530" t="s">
        <v>52</v>
      </c>
      <c r="G570" s="530" t="s">
        <v>52</v>
      </c>
      <c r="H570" s="530">
        <v>8039.1787082384071</v>
      </c>
      <c r="I570" s="530">
        <v>9200.2471634427984</v>
      </c>
      <c r="J570" s="530">
        <v>23721.484111367783</v>
      </c>
      <c r="K570" s="530">
        <v>26857.056740048283</v>
      </c>
      <c r="L570" s="530">
        <v>28018.755840205002</v>
      </c>
      <c r="M570" s="530">
        <v>31719.891361958078</v>
      </c>
      <c r="N570" s="530">
        <v>38122.268136597791</v>
      </c>
      <c r="O570" s="530">
        <v>41171.645688540579</v>
      </c>
      <c r="P570" s="530">
        <v>26309.466140985016</v>
      </c>
      <c r="Q570" s="530">
        <v>23764.481120412391</v>
      </c>
      <c r="R570" s="530">
        <v>11686.898414920663</v>
      </c>
      <c r="S570" s="530">
        <v>8697.5491529330866</v>
      </c>
      <c r="T570" s="530">
        <v>277308.92257964984</v>
      </c>
      <c r="U570" s="530" t="s">
        <v>57</v>
      </c>
    </row>
    <row r="571" spans="1:21" ht="13.8" x14ac:dyDescent="0.3">
      <c r="A571" s="530" t="str">
        <f t="shared" si="16"/>
        <v>North Wales.2022.Economic Impact.Direct Expenditure</v>
      </c>
      <c r="B571" s="530" t="s">
        <v>220</v>
      </c>
      <c r="C571" s="530" t="str">
        <f t="shared" si="17"/>
        <v>2022.Economic Impact.Direct Expenditure</v>
      </c>
      <c r="D571" s="530" t="s">
        <v>248</v>
      </c>
      <c r="E571" s="530" t="s">
        <v>17</v>
      </c>
      <c r="F571" s="530" t="s">
        <v>44</v>
      </c>
      <c r="G571" s="530" t="s">
        <v>44</v>
      </c>
      <c r="H571" s="530">
        <v>96842.503983795876</v>
      </c>
      <c r="I571" s="530">
        <v>113135.41627600667</v>
      </c>
      <c r="J571" s="530">
        <v>246040.47799866091</v>
      </c>
      <c r="K571" s="530">
        <v>281052.23047799547</v>
      </c>
      <c r="L571" s="530">
        <v>296337.61366522033</v>
      </c>
      <c r="M571" s="530">
        <v>326997.2736872118</v>
      </c>
      <c r="N571" s="530">
        <v>431572.56301538117</v>
      </c>
      <c r="O571" s="530">
        <v>469035.54180323408</v>
      </c>
      <c r="P571" s="530">
        <v>318200.52670758718</v>
      </c>
      <c r="Q571" s="530">
        <v>253220.72719328088</v>
      </c>
      <c r="R571" s="530">
        <v>141726.46472442319</v>
      </c>
      <c r="S571" s="530">
        <v>113244.09164219821</v>
      </c>
      <c r="T571" s="530">
        <v>3087405.4311749963</v>
      </c>
      <c r="U571" s="530" t="s">
        <v>57</v>
      </c>
    </row>
    <row r="572" spans="1:21" ht="13.8" x14ac:dyDescent="0.3">
      <c r="A572" s="530" t="str">
        <f t="shared" si="16"/>
        <v>North Wales.2022.Population.Total</v>
      </c>
      <c r="B572" s="530" t="s">
        <v>220</v>
      </c>
      <c r="C572" s="530" t="str">
        <f t="shared" si="17"/>
        <v>2022.Population.Total</v>
      </c>
      <c r="D572" s="530" t="s">
        <v>248</v>
      </c>
      <c r="E572" s="530" t="s">
        <v>19</v>
      </c>
      <c r="F572" s="530" t="s">
        <v>54</v>
      </c>
      <c r="G572" s="530" t="s">
        <v>54</v>
      </c>
      <c r="H572" s="530">
        <v>290208</v>
      </c>
      <c r="I572" s="530">
        <v>290208</v>
      </c>
      <c r="J572" s="530">
        <v>290208</v>
      </c>
      <c r="K572" s="530">
        <v>290208</v>
      </c>
      <c r="L572" s="530">
        <v>290208</v>
      </c>
      <c r="M572" s="530">
        <v>290208</v>
      </c>
      <c r="N572" s="530">
        <v>290208</v>
      </c>
      <c r="O572" s="530">
        <v>290208</v>
      </c>
      <c r="P572" s="530">
        <v>290208</v>
      </c>
      <c r="Q572" s="530">
        <v>290208</v>
      </c>
      <c r="R572" s="530">
        <v>290208</v>
      </c>
      <c r="S572" s="530">
        <v>290208</v>
      </c>
      <c r="T572" s="530">
        <v>290208</v>
      </c>
      <c r="U572" s="530" t="s">
        <v>60</v>
      </c>
    </row>
    <row r="573" spans="1:21" ht="13.8" x14ac:dyDescent="0.3">
      <c r="A573" s="530" t="str">
        <f t="shared" si="16"/>
        <v>North Wales.2022.Employment.Serviced Accommodation</v>
      </c>
      <c r="B573" s="530" t="s">
        <v>220</v>
      </c>
      <c r="C573" s="530" t="str">
        <f t="shared" si="17"/>
        <v>2022.Employment.Serviced Accommodation</v>
      </c>
      <c r="D573" s="530" t="s">
        <v>248</v>
      </c>
      <c r="E573" s="530" t="s">
        <v>20</v>
      </c>
      <c r="F573" s="530" t="s">
        <v>43</v>
      </c>
      <c r="G573" s="530" t="s">
        <v>43</v>
      </c>
      <c r="H573" s="530">
        <v>5445.6394067227111</v>
      </c>
      <c r="I573" s="530">
        <v>6317.143364989136</v>
      </c>
      <c r="J573" s="530">
        <v>7047.1562479974064</v>
      </c>
      <c r="K573" s="530">
        <v>6967.8244038534303</v>
      </c>
      <c r="L573" s="530">
        <v>7539.4294783702371</v>
      </c>
      <c r="M573" s="530">
        <v>7418.8513853463137</v>
      </c>
      <c r="N573" s="530">
        <v>8480.6859398265296</v>
      </c>
      <c r="O573" s="530">
        <v>9043.5264163262691</v>
      </c>
      <c r="P573" s="530">
        <v>7310.0868951301472</v>
      </c>
      <c r="Q573" s="530">
        <v>6950.5499979845317</v>
      </c>
      <c r="R573" s="530">
        <v>6782.0600815344442</v>
      </c>
      <c r="S573" s="530">
        <v>6157.3622973163519</v>
      </c>
      <c r="T573" s="530">
        <v>7121.6929929497937</v>
      </c>
      <c r="U573" s="530" t="s">
        <v>59</v>
      </c>
    </row>
    <row r="574" spans="1:21" ht="13.8" x14ac:dyDescent="0.3">
      <c r="A574" s="530" t="str">
        <f t="shared" si="16"/>
        <v>North Wales.2022.Employment.Non-Serviced Accommodation</v>
      </c>
      <c r="B574" s="530" t="s">
        <v>220</v>
      </c>
      <c r="C574" s="530" t="str">
        <f t="shared" si="17"/>
        <v>2022.Employment.Non-Serviced Accommodation</v>
      </c>
      <c r="D574" s="530" t="s">
        <v>248</v>
      </c>
      <c r="E574" s="530" t="s">
        <v>20</v>
      </c>
      <c r="F574" s="530" t="s">
        <v>48</v>
      </c>
      <c r="G574" s="530" t="s">
        <v>48</v>
      </c>
      <c r="H574" s="530">
        <v>9854.3139231415425</v>
      </c>
      <c r="I574" s="530">
        <v>12493.053772449242</v>
      </c>
      <c r="J574" s="530">
        <v>22383.860503025571</v>
      </c>
      <c r="K574" s="530">
        <v>22682.226624089824</v>
      </c>
      <c r="L574" s="530">
        <v>24322.970485547801</v>
      </c>
      <c r="M574" s="530">
        <v>26078.866633187052</v>
      </c>
      <c r="N574" s="530">
        <v>29173.960148574814</v>
      </c>
      <c r="O574" s="530">
        <v>29128.192602536361</v>
      </c>
      <c r="P574" s="530">
        <v>23476.679533723353</v>
      </c>
      <c r="Q574" s="530">
        <v>22226.68922442948</v>
      </c>
      <c r="R574" s="530">
        <v>12458.622510664536</v>
      </c>
      <c r="S574" s="530">
        <v>10282.805923808959</v>
      </c>
      <c r="T574" s="530">
        <v>20380.186823764878</v>
      </c>
      <c r="U574" s="530" t="s">
        <v>59</v>
      </c>
    </row>
    <row r="575" spans="1:21" ht="13.8" x14ac:dyDescent="0.3">
      <c r="A575" s="530" t="str">
        <f t="shared" si="16"/>
        <v>North Wales.2022.Employment.SFR</v>
      </c>
      <c r="B575" s="530" t="s">
        <v>220</v>
      </c>
      <c r="C575" s="530" t="str">
        <f t="shared" si="17"/>
        <v>2022.Employment.SFR</v>
      </c>
      <c r="D575" s="530" t="s">
        <v>248</v>
      </c>
      <c r="E575" s="530" t="s">
        <v>20</v>
      </c>
      <c r="F575" s="530" t="s">
        <v>18</v>
      </c>
      <c r="G575" s="530" t="s">
        <v>18</v>
      </c>
      <c r="H575" s="530">
        <v>1649.7473280532504</v>
      </c>
      <c r="I575" s="530">
        <v>554.31510222589213</v>
      </c>
      <c r="J575" s="530">
        <v>630.57008983368689</v>
      </c>
      <c r="K575" s="530">
        <v>1463.5502677645889</v>
      </c>
      <c r="L575" s="530">
        <v>941.46508452692842</v>
      </c>
      <c r="M575" s="530">
        <v>725.22767215808437</v>
      </c>
      <c r="N575" s="530">
        <v>1176.8313556586606</v>
      </c>
      <c r="O575" s="530">
        <v>1245.7865407890117</v>
      </c>
      <c r="P575" s="530">
        <v>641.6812046798151</v>
      </c>
      <c r="Q575" s="530">
        <v>641.05213482788122</v>
      </c>
      <c r="R575" s="530">
        <v>499.51141814275326</v>
      </c>
      <c r="S575" s="530">
        <v>1446.4327207731901</v>
      </c>
      <c r="T575" s="530">
        <v>968.01424328614519</v>
      </c>
      <c r="U575" s="530" t="s">
        <v>59</v>
      </c>
    </row>
    <row r="576" spans="1:21" ht="13.8" x14ac:dyDescent="0.3">
      <c r="A576" s="530" t="str">
        <f t="shared" si="16"/>
        <v>North Wales.2022.Employment.Day Visitor</v>
      </c>
      <c r="B576" s="530" t="s">
        <v>220</v>
      </c>
      <c r="C576" s="530" t="str">
        <f t="shared" si="17"/>
        <v>2022.Employment.Day Visitor</v>
      </c>
      <c r="D576" s="530" t="s">
        <v>248</v>
      </c>
      <c r="E576" s="530" t="s">
        <v>20</v>
      </c>
      <c r="F576" s="530" t="s">
        <v>71</v>
      </c>
      <c r="G576" s="530" t="s">
        <v>71</v>
      </c>
      <c r="H576" s="530">
        <v>2599.8810555059758</v>
      </c>
      <c r="I576" s="530">
        <v>2932.2503597449372</v>
      </c>
      <c r="J576" s="530">
        <v>6545.6813375087177</v>
      </c>
      <c r="K576" s="530">
        <v>8770.5181749797975</v>
      </c>
      <c r="L576" s="530">
        <v>8564.9167521895106</v>
      </c>
      <c r="M576" s="530">
        <v>10407.905748156694</v>
      </c>
      <c r="N576" s="530">
        <v>13582.233009792802</v>
      </c>
      <c r="O576" s="530">
        <v>17242.964509599733</v>
      </c>
      <c r="P576" s="530">
        <v>8176.2244897574001</v>
      </c>
      <c r="Q576" s="530">
        <v>6796.8134798421006</v>
      </c>
      <c r="R576" s="530">
        <v>3405.1669415317306</v>
      </c>
      <c r="S576" s="530">
        <v>2119.4872581576842</v>
      </c>
      <c r="T576" s="530">
        <v>7595.3369263972563</v>
      </c>
      <c r="U576" s="530" t="s">
        <v>59</v>
      </c>
    </row>
    <row r="577" spans="1:21" ht="13.8" x14ac:dyDescent="0.3">
      <c r="A577" s="530" t="str">
        <f t="shared" si="16"/>
        <v>North Wales.2022.Employment.Direct Employment</v>
      </c>
      <c r="B577" s="530" t="s">
        <v>220</v>
      </c>
      <c r="C577" s="530" t="str">
        <f t="shared" si="17"/>
        <v>2022.Employment.Direct Employment</v>
      </c>
      <c r="D577" s="530" t="s">
        <v>248</v>
      </c>
      <c r="E577" s="530" t="s">
        <v>20</v>
      </c>
      <c r="F577" s="530" t="s">
        <v>55</v>
      </c>
      <c r="G577" s="530" t="s">
        <v>55</v>
      </c>
      <c r="H577" s="530">
        <v>19549.581713423479</v>
      </c>
      <c r="I577" s="530">
        <v>22296.762599409209</v>
      </c>
      <c r="J577" s="530">
        <v>36607.268178365382</v>
      </c>
      <c r="K577" s="530">
        <v>39884.119470687641</v>
      </c>
      <c r="L577" s="530">
        <v>41368.781800634475</v>
      </c>
      <c r="M577" s="530">
        <v>44630.851438848142</v>
      </c>
      <c r="N577" s="530">
        <v>52413.710453852807</v>
      </c>
      <c r="O577" s="530">
        <v>56660.470069251372</v>
      </c>
      <c r="P577" s="530">
        <v>39604.672123290715</v>
      </c>
      <c r="Q577" s="530">
        <v>36615.104837083993</v>
      </c>
      <c r="R577" s="530">
        <v>23145.360951873463</v>
      </c>
      <c r="S577" s="530">
        <v>20006.088200056187</v>
      </c>
      <c r="T577" s="530">
        <v>36065.23098639807</v>
      </c>
      <c r="U577" s="530" t="s">
        <v>59</v>
      </c>
    </row>
    <row r="578" spans="1:21" ht="13.8" x14ac:dyDescent="0.3">
      <c r="A578" s="530" t="str">
        <f t="shared" si="16"/>
        <v>North Wales.2022.Employment.Indirect Employment</v>
      </c>
      <c r="B578" s="530" t="s">
        <v>220</v>
      </c>
      <c r="C578" s="530" t="str">
        <f t="shared" si="17"/>
        <v>2022.Employment.Indirect Employment</v>
      </c>
      <c r="D578" s="530" t="s">
        <v>248</v>
      </c>
      <c r="E578" s="530" t="s">
        <v>20</v>
      </c>
      <c r="F578" s="530" t="s">
        <v>53</v>
      </c>
      <c r="G578" s="530" t="s">
        <v>53</v>
      </c>
      <c r="H578" s="530">
        <v>3666.7772492978611</v>
      </c>
      <c r="I578" s="530">
        <v>4250.6782193005893</v>
      </c>
      <c r="J578" s="530">
        <v>8885.8362091134586</v>
      </c>
      <c r="K578" s="530">
        <v>9951.027873822768</v>
      </c>
      <c r="L578" s="530">
        <v>10487.74470829876</v>
      </c>
      <c r="M578" s="530">
        <v>11551.695601288422</v>
      </c>
      <c r="N578" s="530">
        <v>15112.726735447641</v>
      </c>
      <c r="O578" s="530">
        <v>16401.328041864872</v>
      </c>
      <c r="P578" s="530">
        <v>11250.826768164508</v>
      </c>
      <c r="Q578" s="530">
        <v>8997.3005225311736</v>
      </c>
      <c r="R578" s="530">
        <v>5004.4227763809595</v>
      </c>
      <c r="S578" s="530">
        <v>4066.1914775248661</v>
      </c>
      <c r="T578" s="530">
        <v>9135.5463485863238</v>
      </c>
      <c r="U578" s="530" t="s">
        <v>59</v>
      </c>
    </row>
    <row r="579" spans="1:21" ht="13.8" x14ac:dyDescent="0.3">
      <c r="A579" s="530" t="str">
        <f t="shared" si="16"/>
        <v>North Wales.2022.Employment.Total</v>
      </c>
      <c r="B579" s="530" t="s">
        <v>220</v>
      </c>
      <c r="C579" s="530" t="str">
        <f t="shared" si="17"/>
        <v>2022.Employment.Total</v>
      </c>
      <c r="D579" s="530" t="s">
        <v>248</v>
      </c>
      <c r="E579" s="530" t="s">
        <v>20</v>
      </c>
      <c r="F579" s="530" t="s">
        <v>54</v>
      </c>
      <c r="G579" s="530" t="s">
        <v>54</v>
      </c>
      <c r="H579" s="530">
        <v>23216.358962721341</v>
      </c>
      <c r="I579" s="530">
        <v>26547.440818709798</v>
      </c>
      <c r="J579" s="530">
        <v>45493.104387478845</v>
      </c>
      <c r="K579" s="530">
        <v>49835.147344510406</v>
      </c>
      <c r="L579" s="530">
        <v>51856.526508933239</v>
      </c>
      <c r="M579" s="530">
        <v>56182.54704013656</v>
      </c>
      <c r="N579" s="530">
        <v>67526.437189300443</v>
      </c>
      <c r="O579" s="530">
        <v>73061.798111116252</v>
      </c>
      <c r="P579" s="530">
        <v>50855.498891455223</v>
      </c>
      <c r="Q579" s="530">
        <v>45612.405359615164</v>
      </c>
      <c r="R579" s="530">
        <v>28149.783728254421</v>
      </c>
      <c r="S579" s="530">
        <v>24072.279677581053</v>
      </c>
      <c r="T579" s="530">
        <v>45200.777334984399</v>
      </c>
      <c r="U579" s="530" t="s">
        <v>59</v>
      </c>
    </row>
    <row r="580" spans="1:21" ht="13.8" x14ac:dyDescent="0.3">
      <c r="A580" s="530" t="str">
        <f t="shared" si="16"/>
        <v>North Wales.2022.Employment.Accommodation</v>
      </c>
      <c r="B580" s="530" t="s">
        <v>220</v>
      </c>
      <c r="C580" s="530" t="str">
        <f t="shared" si="17"/>
        <v>2022.Employment.Accommodation</v>
      </c>
      <c r="D580" s="530" t="s">
        <v>248</v>
      </c>
      <c r="E580" s="530" t="s">
        <v>20</v>
      </c>
      <c r="F580" s="530" t="s">
        <v>23</v>
      </c>
      <c r="G580" s="530" t="s">
        <v>23</v>
      </c>
      <c r="H580" s="530">
        <v>10285.800718390803</v>
      </c>
      <c r="I580" s="530">
        <v>12122.532231756988</v>
      </c>
      <c r="J580" s="530">
        <v>12010.156363886777</v>
      </c>
      <c r="K580" s="530">
        <v>12150.38526632679</v>
      </c>
      <c r="L580" s="530">
        <v>12388.293625888156</v>
      </c>
      <c r="M580" s="530">
        <v>12234.396178611258</v>
      </c>
      <c r="N580" s="530">
        <v>12837.737052207205</v>
      </c>
      <c r="O580" s="530">
        <v>13102.348310410762</v>
      </c>
      <c r="P580" s="530">
        <v>12224.323500250215</v>
      </c>
      <c r="Q580" s="530">
        <v>12046.564518950534</v>
      </c>
      <c r="R580" s="530">
        <v>10845.643136421222</v>
      </c>
      <c r="S580" s="530">
        <v>10589.377442528734</v>
      </c>
      <c r="T580" s="530">
        <v>11903.129862135786</v>
      </c>
      <c r="U580" s="530" t="s">
        <v>59</v>
      </c>
    </row>
    <row r="581" spans="1:21" ht="13.8" x14ac:dyDescent="0.3">
      <c r="A581" s="530" t="str">
        <f t="shared" si="16"/>
        <v>North Wales.2022.Employment.Food &amp; Drink</v>
      </c>
      <c r="B581" s="530" t="s">
        <v>220</v>
      </c>
      <c r="C581" s="530" t="str">
        <f t="shared" si="17"/>
        <v>2022.Employment.Food &amp; Drink</v>
      </c>
      <c r="D581" s="530" t="s">
        <v>248</v>
      </c>
      <c r="E581" s="530" t="s">
        <v>20</v>
      </c>
      <c r="F581" s="530" t="s">
        <v>49</v>
      </c>
      <c r="G581" s="530" t="s">
        <v>49</v>
      </c>
      <c r="H581" s="530">
        <v>3895.5868697881115</v>
      </c>
      <c r="I581" s="530">
        <v>4126.6071478949061</v>
      </c>
      <c r="J581" s="530">
        <v>10210.599002446434</v>
      </c>
      <c r="K581" s="530">
        <v>11257.897387686771</v>
      </c>
      <c r="L581" s="530">
        <v>11856.207836705118</v>
      </c>
      <c r="M581" s="530">
        <v>13020.890127521136</v>
      </c>
      <c r="N581" s="530">
        <v>16052.431012741385</v>
      </c>
      <c r="O581" s="530">
        <v>17391.578774049158</v>
      </c>
      <c r="P581" s="530">
        <v>11222.561769684911</v>
      </c>
      <c r="Q581" s="530">
        <v>10139.898525253142</v>
      </c>
      <c r="R581" s="530">
        <v>5107.4366452856812</v>
      </c>
      <c r="S581" s="530">
        <v>4038.3407491554544</v>
      </c>
      <c r="T581" s="530">
        <v>9860.0029873510157</v>
      </c>
      <c r="U581" s="530" t="s">
        <v>59</v>
      </c>
    </row>
    <row r="582" spans="1:21" ht="13.8" x14ac:dyDescent="0.3">
      <c r="A582" s="530" t="str">
        <f t="shared" si="16"/>
        <v>North Wales.2022.Employment.Recreation</v>
      </c>
      <c r="B582" s="530" t="s">
        <v>220</v>
      </c>
      <c r="C582" s="530" t="str">
        <f t="shared" si="17"/>
        <v>2022.Employment.Recreation</v>
      </c>
      <c r="D582" s="530" t="s">
        <v>248</v>
      </c>
      <c r="E582" s="530" t="s">
        <v>20</v>
      </c>
      <c r="F582" s="530" t="s">
        <v>50</v>
      </c>
      <c r="G582" s="530" t="s">
        <v>50</v>
      </c>
      <c r="H582" s="530">
        <v>1093.70554986149</v>
      </c>
      <c r="I582" s="530">
        <v>1234.5536921216369</v>
      </c>
      <c r="J582" s="530">
        <v>3548.2197798463435</v>
      </c>
      <c r="K582" s="530">
        <v>3378.6534930201842</v>
      </c>
      <c r="L582" s="530">
        <v>3503.844189470457</v>
      </c>
      <c r="M582" s="530">
        <v>4100.1302041999306</v>
      </c>
      <c r="N582" s="530">
        <v>4788.7276215539896</v>
      </c>
      <c r="O582" s="530">
        <v>5114.0334302809024</v>
      </c>
      <c r="P582" s="530">
        <v>3347.8101100510767</v>
      </c>
      <c r="Q582" s="530">
        <v>3136.4233026046668</v>
      </c>
      <c r="R582" s="530">
        <v>1587.1854145293241</v>
      </c>
      <c r="S582" s="530">
        <v>1180.0339892477841</v>
      </c>
      <c r="T582" s="530">
        <v>3001.110064732316</v>
      </c>
      <c r="U582" s="530" t="s">
        <v>59</v>
      </c>
    </row>
    <row r="583" spans="1:21" ht="13.8" x14ac:dyDescent="0.3">
      <c r="A583" s="530" t="str">
        <f t="shared" si="16"/>
        <v>North Wales.2022.Employment.Shopping</v>
      </c>
      <c r="B583" s="530" t="s">
        <v>220</v>
      </c>
      <c r="C583" s="530" t="str">
        <f t="shared" si="17"/>
        <v>2022.Employment.Shopping</v>
      </c>
      <c r="D583" s="530" t="s">
        <v>248</v>
      </c>
      <c r="E583" s="530" t="s">
        <v>20</v>
      </c>
      <c r="F583" s="530" t="s">
        <v>51</v>
      </c>
      <c r="G583" s="530" t="s">
        <v>51</v>
      </c>
      <c r="H583" s="530">
        <v>3724.5642950217898</v>
      </c>
      <c r="I583" s="530">
        <v>4183.721744221255</v>
      </c>
      <c r="J583" s="530">
        <v>9215.612338985502</v>
      </c>
      <c r="K583" s="530">
        <v>11260.012122911974</v>
      </c>
      <c r="L583" s="530">
        <v>11703.798305173477</v>
      </c>
      <c r="M583" s="530">
        <v>13105.618948123803</v>
      </c>
      <c r="N583" s="530">
        <v>16127.040810381885</v>
      </c>
      <c r="O583" s="530">
        <v>18236.141309908882</v>
      </c>
      <c r="P583" s="530">
        <v>11010.263767718581</v>
      </c>
      <c r="Q583" s="530">
        <v>9666.596563882893</v>
      </c>
      <c r="R583" s="530">
        <v>4805.6472754218994</v>
      </c>
      <c r="S583" s="530">
        <v>3603.3755595523739</v>
      </c>
      <c r="T583" s="530">
        <v>9720.1994201086927</v>
      </c>
      <c r="U583" s="530" t="s">
        <v>59</v>
      </c>
    </row>
    <row r="584" spans="1:21" ht="13.8" x14ac:dyDescent="0.3">
      <c r="A584" s="530" t="str">
        <f t="shared" si="16"/>
        <v>North Wales.2022.Employment.Transport</v>
      </c>
      <c r="B584" s="530" t="s">
        <v>220</v>
      </c>
      <c r="C584" s="530" t="str">
        <f t="shared" si="17"/>
        <v>2022.Employment.Transport</v>
      </c>
      <c r="D584" s="530" t="s">
        <v>248</v>
      </c>
      <c r="E584" s="530" t="s">
        <v>20</v>
      </c>
      <c r="F584" s="530" t="s">
        <v>52</v>
      </c>
      <c r="G584" s="530" t="s">
        <v>52</v>
      </c>
      <c r="H584" s="530">
        <v>549.92428036128558</v>
      </c>
      <c r="I584" s="530">
        <v>629.34778341441984</v>
      </c>
      <c r="J584" s="530">
        <v>1622.680693200326</v>
      </c>
      <c r="K584" s="530">
        <v>1837.1712007419251</v>
      </c>
      <c r="L584" s="530">
        <v>1916.6378433972695</v>
      </c>
      <c r="M584" s="530">
        <v>2169.815980392018</v>
      </c>
      <c r="N584" s="530">
        <v>2607.7739569683408</v>
      </c>
      <c r="O584" s="530">
        <v>2816.3682446016683</v>
      </c>
      <c r="P584" s="530">
        <v>1799.7129755859301</v>
      </c>
      <c r="Q584" s="530">
        <v>1625.6219263927555</v>
      </c>
      <c r="R584" s="530">
        <v>799.44848021533767</v>
      </c>
      <c r="S584" s="530">
        <v>594.96045957183549</v>
      </c>
      <c r="T584" s="530">
        <v>1580.7886520702589</v>
      </c>
      <c r="U584" s="530" t="s">
        <v>59</v>
      </c>
    </row>
    <row r="585" spans="1:21" ht="13.8" x14ac:dyDescent="0.3">
      <c r="A585" s="530" t="str">
        <f t="shared" ref="A585:A894" si="18">B585&amp;"."&amp;D585&amp;"."&amp;E585&amp;"."&amp;F585</f>
        <v>North Wales.2022.Visitor Days.Serviced Accommodation</v>
      </c>
      <c r="B585" s="530" t="s">
        <v>220</v>
      </c>
      <c r="C585" s="530" t="str">
        <f t="shared" ref="C585:C894" si="19">D585&amp;"."&amp;E585&amp;"."&amp;F585</f>
        <v>2022.Visitor Days.Serviced Accommodation</v>
      </c>
      <c r="D585" s="530" t="s">
        <v>248</v>
      </c>
      <c r="E585" s="530" t="s">
        <v>171</v>
      </c>
      <c r="F585" s="530" t="s">
        <v>43</v>
      </c>
      <c r="G585" s="530" t="s">
        <v>43</v>
      </c>
      <c r="H585" s="530">
        <v>176.79427095881152</v>
      </c>
      <c r="I585" s="530">
        <v>300.54478724717552</v>
      </c>
      <c r="J585" s="530">
        <v>381.38220595552968</v>
      </c>
      <c r="K585" s="530">
        <v>388.51786800331871</v>
      </c>
      <c r="L585" s="530">
        <v>488.39307236226318</v>
      </c>
      <c r="M585" s="530">
        <v>479.16599421588762</v>
      </c>
      <c r="N585" s="530">
        <v>568.01512881050598</v>
      </c>
      <c r="O585" s="530">
        <v>624.63947361009605</v>
      </c>
      <c r="P585" s="530">
        <v>449.07699906526136</v>
      </c>
      <c r="Q585" s="530">
        <v>386.24229970562413</v>
      </c>
      <c r="R585" s="530">
        <v>385.99185105596325</v>
      </c>
      <c r="S585" s="530">
        <v>282.22279841551165</v>
      </c>
      <c r="T585" s="530">
        <v>4910.9867494059481</v>
      </c>
      <c r="U585" s="530" t="s">
        <v>61</v>
      </c>
    </row>
    <row r="586" spans="1:21" ht="13.8" x14ac:dyDescent="0.3">
      <c r="A586" s="530" t="str">
        <f t="shared" si="18"/>
        <v>North Wales.2022.Visitor Days.Non-Serviced Accommodation</v>
      </c>
      <c r="B586" s="530" t="s">
        <v>220</v>
      </c>
      <c r="C586" s="530" t="str">
        <f t="shared" si="19"/>
        <v>2022.Visitor Days.Non-Serviced Accommodation</v>
      </c>
      <c r="D586" s="530" t="s">
        <v>248</v>
      </c>
      <c r="E586" s="530" t="s">
        <v>171</v>
      </c>
      <c r="F586" s="530" t="s">
        <v>48</v>
      </c>
      <c r="G586" s="530" t="s">
        <v>48</v>
      </c>
      <c r="H586" s="530">
        <v>1027.5849240072798</v>
      </c>
      <c r="I586" s="530">
        <v>1240.7803372429066</v>
      </c>
      <c r="J586" s="530">
        <v>3781.5533484508128</v>
      </c>
      <c r="K586" s="530">
        <v>4084.3551255329503</v>
      </c>
      <c r="L586" s="530">
        <v>4515.9094219132758</v>
      </c>
      <c r="M586" s="530">
        <v>4900.0348326342028</v>
      </c>
      <c r="N586" s="530">
        <v>5816.4349207583164</v>
      </c>
      <c r="O586" s="530">
        <v>5826.4780521166495</v>
      </c>
      <c r="P586" s="530">
        <v>4307.6942435413639</v>
      </c>
      <c r="Q586" s="530">
        <v>3991.1307083678939</v>
      </c>
      <c r="R586" s="530">
        <v>1697.9881136234599</v>
      </c>
      <c r="S586" s="530">
        <v>1180.631372550524</v>
      </c>
      <c r="T586" s="530">
        <v>42370.575400739632</v>
      </c>
      <c r="U586" s="530" t="s">
        <v>61</v>
      </c>
    </row>
    <row r="587" spans="1:21" ht="13.8" x14ac:dyDescent="0.3">
      <c r="A587" s="530" t="str">
        <f t="shared" si="18"/>
        <v>North Wales.2022.Visitor Days.SFR</v>
      </c>
      <c r="B587" s="530" t="s">
        <v>220</v>
      </c>
      <c r="C587" s="530" t="str">
        <f t="shared" si="19"/>
        <v>2022.Visitor Days.SFR</v>
      </c>
      <c r="D587" s="530" t="s">
        <v>248</v>
      </c>
      <c r="E587" s="530" t="s">
        <v>171</v>
      </c>
      <c r="F587" s="530" t="s">
        <v>18</v>
      </c>
      <c r="G587" s="530" t="s">
        <v>18</v>
      </c>
      <c r="H587" s="530">
        <v>351.35693181818181</v>
      </c>
      <c r="I587" s="530">
        <v>118.05592909090907</v>
      </c>
      <c r="J587" s="530">
        <v>134.29642727272727</v>
      </c>
      <c r="K587" s="530">
        <v>320.43752181818178</v>
      </c>
      <c r="L587" s="530">
        <v>206.1294</v>
      </c>
      <c r="M587" s="530">
        <v>158.78522462727273</v>
      </c>
      <c r="N587" s="530">
        <v>257.66174999999998</v>
      </c>
      <c r="O587" s="530">
        <v>272.75916696363635</v>
      </c>
      <c r="P587" s="530">
        <v>140.49311428090908</v>
      </c>
      <c r="Q587" s="530">
        <v>140.35538236363635</v>
      </c>
      <c r="R587" s="530">
        <v>109.36570097727271</v>
      </c>
      <c r="S587" s="530">
        <v>316.68971454545454</v>
      </c>
      <c r="T587" s="530">
        <v>2526.3862637581819</v>
      </c>
      <c r="U587" s="530" t="s">
        <v>61</v>
      </c>
    </row>
    <row r="588" spans="1:21" ht="13.8" x14ac:dyDescent="0.3">
      <c r="A588" s="530" t="str">
        <f t="shared" si="18"/>
        <v>North Wales.2022.Visitor Days.Day Visitor</v>
      </c>
      <c r="B588" s="530" t="s">
        <v>220</v>
      </c>
      <c r="C588" s="530" t="str">
        <f t="shared" si="19"/>
        <v>2022.Visitor Days.Day Visitor</v>
      </c>
      <c r="D588" s="530" t="s">
        <v>248</v>
      </c>
      <c r="E588" s="530" t="s">
        <v>171</v>
      </c>
      <c r="F588" s="530" t="s">
        <v>71</v>
      </c>
      <c r="G588" s="530" t="s">
        <v>71</v>
      </c>
      <c r="H588" s="530">
        <v>599.15083417819619</v>
      </c>
      <c r="I588" s="530">
        <v>636.12632893522982</v>
      </c>
      <c r="J588" s="530">
        <v>1468.1242162631584</v>
      </c>
      <c r="K588" s="530">
        <v>1900.1354615571277</v>
      </c>
      <c r="L588" s="530">
        <v>1869.5239423492781</v>
      </c>
      <c r="M588" s="530">
        <v>2270.7273945563538</v>
      </c>
      <c r="N588" s="530">
        <v>3000.0417692185865</v>
      </c>
      <c r="O588" s="530">
        <v>3793.1113902652169</v>
      </c>
      <c r="P588" s="530">
        <v>1799.0574652660462</v>
      </c>
      <c r="Q588" s="530">
        <v>1541.2672049294947</v>
      </c>
      <c r="R588" s="530">
        <v>791.19923055943582</v>
      </c>
      <c r="S588" s="530">
        <v>501.81065836001608</v>
      </c>
      <c r="T588" s="530">
        <v>20170.275896438143</v>
      </c>
      <c r="U588" s="530" t="s">
        <v>61</v>
      </c>
    </row>
    <row r="589" spans="1:21" ht="13.8" x14ac:dyDescent="0.3">
      <c r="A589" s="530" t="str">
        <f t="shared" si="18"/>
        <v>North Wales.2022.Visitor Days.Total</v>
      </c>
      <c r="B589" s="530" t="s">
        <v>220</v>
      </c>
      <c r="C589" s="530" t="str">
        <f t="shared" si="19"/>
        <v>2022.Visitor Days.Total</v>
      </c>
      <c r="D589" s="530" t="s">
        <v>248</v>
      </c>
      <c r="E589" s="530" t="s">
        <v>171</v>
      </c>
      <c r="F589" s="530" t="s">
        <v>54</v>
      </c>
      <c r="G589" s="530" t="s">
        <v>54</v>
      </c>
      <c r="H589" s="530">
        <v>2154.8869609624689</v>
      </c>
      <c r="I589" s="530">
        <v>2295.5073825162208</v>
      </c>
      <c r="J589" s="530">
        <v>5765.3561979422284</v>
      </c>
      <c r="K589" s="530">
        <v>6693.4459769115783</v>
      </c>
      <c r="L589" s="530">
        <v>7079.9558366248166</v>
      </c>
      <c r="M589" s="530">
        <v>7808.7134460337165</v>
      </c>
      <c r="N589" s="530">
        <v>9642.1535687874093</v>
      </c>
      <c r="O589" s="530">
        <v>10516.988082955599</v>
      </c>
      <c r="P589" s="530">
        <v>6696.3218221535808</v>
      </c>
      <c r="Q589" s="530">
        <v>6058.9955953666486</v>
      </c>
      <c r="R589" s="530">
        <v>2984.5448962161317</v>
      </c>
      <c r="S589" s="530">
        <v>2281.3545438715064</v>
      </c>
      <c r="T589" s="530">
        <v>69978.224310341902</v>
      </c>
      <c r="U589" s="530" t="s">
        <v>61</v>
      </c>
    </row>
    <row r="590" spans="1:21" ht="13.8" x14ac:dyDescent="0.3">
      <c r="A590" s="530" t="str">
        <f t="shared" si="18"/>
        <v>North Wales.2022.Visitor Numbers.Serviced Accommodation</v>
      </c>
      <c r="B590" s="530" t="s">
        <v>220</v>
      </c>
      <c r="C590" s="530" t="str">
        <f t="shared" si="19"/>
        <v>2022.Visitor Numbers.Serviced Accommodation</v>
      </c>
      <c r="D590" s="530" t="s">
        <v>248</v>
      </c>
      <c r="E590" s="530" t="s">
        <v>172</v>
      </c>
      <c r="F590" s="530" t="s">
        <v>43</v>
      </c>
      <c r="G590" s="530" t="s">
        <v>43</v>
      </c>
      <c r="H590" s="530">
        <v>115.11567281491692</v>
      </c>
      <c r="I590" s="530">
        <v>199.64317299879326</v>
      </c>
      <c r="J590" s="530">
        <v>185.35196038519544</v>
      </c>
      <c r="K590" s="530">
        <v>213.6935484827253</v>
      </c>
      <c r="L590" s="530">
        <v>259.47411774353372</v>
      </c>
      <c r="M590" s="530">
        <v>269.68835290514608</v>
      </c>
      <c r="N590" s="530">
        <v>322.94709763159756</v>
      </c>
      <c r="O590" s="530">
        <v>355.15839498828808</v>
      </c>
      <c r="P590" s="530">
        <v>228.26074056528725</v>
      </c>
      <c r="Q590" s="530">
        <v>223.2403299555134</v>
      </c>
      <c r="R590" s="530">
        <v>224.18306178558447</v>
      </c>
      <c r="S590" s="530">
        <v>172.14048244965781</v>
      </c>
      <c r="T590" s="530">
        <v>2768.8969327062391</v>
      </c>
      <c r="U590" s="530" t="s">
        <v>61</v>
      </c>
    </row>
    <row r="591" spans="1:21" ht="13.8" x14ac:dyDescent="0.3">
      <c r="A591" s="530" t="str">
        <f t="shared" si="18"/>
        <v>North Wales.2022.Visitor Numbers.Non-Serviced Accommodation</v>
      </c>
      <c r="B591" s="530" t="s">
        <v>220</v>
      </c>
      <c r="C591" s="530" t="str">
        <f t="shared" si="19"/>
        <v>2022.Visitor Numbers.Non-Serviced Accommodation</v>
      </c>
      <c r="D591" s="530" t="s">
        <v>248</v>
      </c>
      <c r="E591" s="530" t="s">
        <v>172</v>
      </c>
      <c r="F591" s="530" t="s">
        <v>48</v>
      </c>
      <c r="G591" s="530" t="s">
        <v>48</v>
      </c>
      <c r="H591" s="530">
        <v>301.36916695239006</v>
      </c>
      <c r="I591" s="530">
        <v>311.25535634590642</v>
      </c>
      <c r="J591" s="530">
        <v>798.44699977335677</v>
      </c>
      <c r="K591" s="530">
        <v>658.40813391392169</v>
      </c>
      <c r="L591" s="530">
        <v>674.7191199966536</v>
      </c>
      <c r="M591" s="530">
        <v>721.74896963515289</v>
      </c>
      <c r="N591" s="530">
        <v>839.2361205127313</v>
      </c>
      <c r="O591" s="530">
        <v>784.82508010417882</v>
      </c>
      <c r="P591" s="530">
        <v>653.48848570766779</v>
      </c>
      <c r="Q591" s="530">
        <v>597.38680128359965</v>
      </c>
      <c r="R591" s="530">
        <v>393.91917902158679</v>
      </c>
      <c r="S591" s="530">
        <v>229.23592281633557</v>
      </c>
      <c r="T591" s="530">
        <v>6964.0393360634798</v>
      </c>
      <c r="U591" s="530" t="s">
        <v>61</v>
      </c>
    </row>
    <row r="592" spans="1:21" ht="13.8" x14ac:dyDescent="0.3">
      <c r="A592" s="530" t="str">
        <f t="shared" si="18"/>
        <v>North Wales.2022.Visitor Numbers.SFR</v>
      </c>
      <c r="B592" s="530" t="s">
        <v>220</v>
      </c>
      <c r="C592" s="530" t="str">
        <f t="shared" si="19"/>
        <v>2022.Visitor Numbers.SFR</v>
      </c>
      <c r="D592" s="530" t="s">
        <v>248</v>
      </c>
      <c r="E592" s="530" t="s">
        <v>172</v>
      </c>
      <c r="F592" s="530" t="s">
        <v>18</v>
      </c>
      <c r="G592" s="530" t="s">
        <v>18</v>
      </c>
      <c r="H592" s="530">
        <v>140.54277272727271</v>
      </c>
      <c r="I592" s="530">
        <v>56.217109090909084</v>
      </c>
      <c r="J592" s="530">
        <v>62.463454545454553</v>
      </c>
      <c r="K592" s="530">
        <v>118.68056363636363</v>
      </c>
      <c r="L592" s="530">
        <v>93.695181818181808</v>
      </c>
      <c r="M592" s="530">
        <v>75.612011727272716</v>
      </c>
      <c r="N592" s="530">
        <v>103.0647</v>
      </c>
      <c r="O592" s="530">
        <v>104.9073719090909</v>
      </c>
      <c r="P592" s="530">
        <v>64.743370636363636</v>
      </c>
      <c r="Q592" s="530">
        <v>65.58662727272727</v>
      </c>
      <c r="R592" s="530">
        <v>53.874729545454542</v>
      </c>
      <c r="S592" s="530">
        <v>121.80373636363635</v>
      </c>
      <c r="T592" s="530">
        <v>1061.1916292727274</v>
      </c>
      <c r="U592" s="530" t="s">
        <v>61</v>
      </c>
    </row>
    <row r="593" spans="1:21" ht="13.8" x14ac:dyDescent="0.3">
      <c r="A593" s="530" t="str">
        <f t="shared" si="18"/>
        <v>North Wales.2022.Visitor Numbers.Day Visitor</v>
      </c>
      <c r="B593" s="530" t="s">
        <v>220</v>
      </c>
      <c r="C593" s="530" t="str">
        <f t="shared" si="19"/>
        <v>2022.Visitor Numbers.Day Visitor</v>
      </c>
      <c r="D593" s="530" t="s">
        <v>248</v>
      </c>
      <c r="E593" s="530" t="s">
        <v>172</v>
      </c>
      <c r="F593" s="530" t="s">
        <v>71</v>
      </c>
      <c r="G593" s="530" t="s">
        <v>71</v>
      </c>
      <c r="H593" s="530">
        <v>599.15083417819619</v>
      </c>
      <c r="I593" s="530">
        <v>636.12632893522982</v>
      </c>
      <c r="J593" s="530">
        <v>1468.1242162631584</v>
      </c>
      <c r="K593" s="530">
        <v>1900.1354615571277</v>
      </c>
      <c r="L593" s="530">
        <v>1869.5239423492781</v>
      </c>
      <c r="M593" s="530">
        <v>2270.7273945563538</v>
      </c>
      <c r="N593" s="530">
        <v>3000.0417692185865</v>
      </c>
      <c r="O593" s="530">
        <v>3793.1113902652169</v>
      </c>
      <c r="P593" s="530">
        <v>1799.0574652660462</v>
      </c>
      <c r="Q593" s="530">
        <v>1541.2672049294947</v>
      </c>
      <c r="R593" s="530">
        <v>791.19923055943582</v>
      </c>
      <c r="S593" s="530">
        <v>501.81065836001608</v>
      </c>
      <c r="T593" s="530">
        <v>20170.275896438143</v>
      </c>
      <c r="U593" s="530" t="s">
        <v>61</v>
      </c>
    </row>
    <row r="594" spans="1:21" ht="13.8" x14ac:dyDescent="0.3">
      <c r="A594" s="530" t="str">
        <f t="shared" si="18"/>
        <v>North Wales.2022.Visitor Numbers.Total</v>
      </c>
      <c r="B594" s="530" t="s">
        <v>220</v>
      </c>
      <c r="C594" s="530" t="str">
        <f t="shared" si="19"/>
        <v>2022.Visitor Numbers.Total</v>
      </c>
      <c r="D594" s="530" t="s">
        <v>248</v>
      </c>
      <c r="E594" s="530" t="s">
        <v>172</v>
      </c>
      <c r="F594" s="530" t="s">
        <v>54</v>
      </c>
      <c r="G594" s="530" t="s">
        <v>54</v>
      </c>
      <c r="H594" s="530">
        <v>1156.1784466727759</v>
      </c>
      <c r="I594" s="530">
        <v>1203.2419673708387</v>
      </c>
      <c r="J594" s="530">
        <v>2514.3866309671648</v>
      </c>
      <c r="K594" s="530">
        <v>2890.9177075901384</v>
      </c>
      <c r="L594" s="530">
        <v>2897.4123619076472</v>
      </c>
      <c r="M594" s="530">
        <v>3337.7767288239256</v>
      </c>
      <c r="N594" s="530">
        <v>4265.2896873629152</v>
      </c>
      <c r="O594" s="530">
        <v>5038.0022372667745</v>
      </c>
      <c r="P594" s="530">
        <v>2745.5500621753649</v>
      </c>
      <c r="Q594" s="530">
        <v>2427.480963441335</v>
      </c>
      <c r="R594" s="530">
        <v>1463.1762009120616</v>
      </c>
      <c r="S594" s="530">
        <v>1024.9907999896459</v>
      </c>
      <c r="T594" s="530">
        <v>30964.403794480586</v>
      </c>
      <c r="U594" s="530" t="s">
        <v>61</v>
      </c>
    </row>
    <row r="595" spans="1:21" ht="13.8" x14ac:dyDescent="0.3">
      <c r="A595" s="530" t="str">
        <f t="shared" si="18"/>
        <v>North Wales.2022.Vehicle Days.Serviced Accommodation</v>
      </c>
      <c r="B595" s="530" t="s">
        <v>220</v>
      </c>
      <c r="C595" s="530" t="str">
        <f t="shared" si="19"/>
        <v>2022.Vehicle Days.Serviced Accommodation</v>
      </c>
      <c r="D595" s="530" t="s">
        <v>248</v>
      </c>
      <c r="E595" s="530" t="s">
        <v>21</v>
      </c>
      <c r="F595" s="530" t="s">
        <v>43</v>
      </c>
      <c r="G595" s="530" t="s">
        <v>43</v>
      </c>
      <c r="H595" s="530">
        <v>46.31692829503303</v>
      </c>
      <c r="I595" s="530">
        <v>104.39482654935584</v>
      </c>
      <c r="J595" s="530">
        <v>138.66348392482988</v>
      </c>
      <c r="K595" s="530">
        <v>102.15416840890829</v>
      </c>
      <c r="L595" s="530">
        <v>137.20431122341597</v>
      </c>
      <c r="M595" s="530">
        <v>134.23783189235857</v>
      </c>
      <c r="N595" s="530">
        <v>148.9394985243357</v>
      </c>
      <c r="O595" s="530">
        <v>164.26598347974607</v>
      </c>
      <c r="P595" s="530">
        <v>118.13864573504961</v>
      </c>
      <c r="Q595" s="530">
        <v>120.06050001334944</v>
      </c>
      <c r="R595" s="530">
        <v>121.61750924252951</v>
      </c>
      <c r="S595" s="530">
        <v>74.586391623470973</v>
      </c>
      <c r="T595" s="530">
        <v>1410.5800789123828</v>
      </c>
      <c r="U595" s="530" t="s">
        <v>61</v>
      </c>
    </row>
    <row r="596" spans="1:21" ht="13.8" x14ac:dyDescent="0.3">
      <c r="A596" s="530" t="str">
        <f t="shared" si="18"/>
        <v>North Wales.2022.Vehicle Days.Non-Serviced Accommodation</v>
      </c>
      <c r="B596" s="530" t="s">
        <v>220</v>
      </c>
      <c r="C596" s="530" t="str">
        <f t="shared" si="19"/>
        <v>2022.Vehicle Days.Non-Serviced Accommodation</v>
      </c>
      <c r="D596" s="530" t="s">
        <v>248</v>
      </c>
      <c r="E596" s="530" t="s">
        <v>21</v>
      </c>
      <c r="F596" s="530" t="s">
        <v>48</v>
      </c>
      <c r="G596" s="530" t="s">
        <v>48</v>
      </c>
      <c r="H596" s="530">
        <v>273.8376166165495</v>
      </c>
      <c r="I596" s="530">
        <v>394.09105661201943</v>
      </c>
      <c r="J596" s="530">
        <v>1025.3016800719229</v>
      </c>
      <c r="K596" s="530">
        <v>1047.875798669231</v>
      </c>
      <c r="L596" s="530">
        <v>1191.1901402773542</v>
      </c>
      <c r="M596" s="530">
        <v>1312.5419356075288</v>
      </c>
      <c r="N596" s="530">
        <v>1473.6624458117976</v>
      </c>
      <c r="O596" s="530">
        <v>1441.412108769807</v>
      </c>
      <c r="P596" s="530">
        <v>1132.236620368599</v>
      </c>
      <c r="Q596" s="530">
        <v>1025.2412966350098</v>
      </c>
      <c r="R596" s="530">
        <v>448.79824600652995</v>
      </c>
      <c r="S596" s="530">
        <v>277.05794023976307</v>
      </c>
      <c r="T596" s="530">
        <v>11043.246885686112</v>
      </c>
      <c r="U596" s="530" t="s">
        <v>61</v>
      </c>
    </row>
    <row r="597" spans="1:21" ht="13.8" x14ac:dyDescent="0.3">
      <c r="A597" s="530" t="str">
        <f t="shared" si="18"/>
        <v>North Wales.2022.Vehicle Days.SFR</v>
      </c>
      <c r="B597" s="530" t="s">
        <v>220</v>
      </c>
      <c r="C597" s="530" t="str">
        <f t="shared" si="19"/>
        <v>2022.Vehicle Days.SFR</v>
      </c>
      <c r="D597" s="530" t="s">
        <v>248</v>
      </c>
      <c r="E597" s="530" t="s">
        <v>21</v>
      </c>
      <c r="F597" s="530" t="s">
        <v>18</v>
      </c>
      <c r="G597" s="530" t="s">
        <v>18</v>
      </c>
      <c r="H597" s="530">
        <v>108.11667613636362</v>
      </c>
      <c r="I597" s="530">
        <v>36.327203181818177</v>
      </c>
      <c r="J597" s="530">
        <v>41.324596212121222</v>
      </c>
      <c r="K597" s="530">
        <v>98.60240863636362</v>
      </c>
      <c r="L597" s="530">
        <v>63.428449999999998</v>
      </c>
      <c r="M597" s="530">
        <v>48.860088279545458</v>
      </c>
      <c r="N597" s="530">
        <v>79.285562499999997</v>
      </c>
      <c r="O597" s="530">
        <v>83.931215943939392</v>
      </c>
      <c r="P597" s="530">
        <v>43.231389964318183</v>
      </c>
      <c r="Q597" s="530">
        <v>43.18900822727273</v>
      </c>
      <c r="R597" s="530">
        <v>33.653117392045452</v>
      </c>
      <c r="S597" s="530">
        <v>97.449164090909093</v>
      </c>
      <c r="T597" s="530">
        <v>777.39888056469704</v>
      </c>
      <c r="U597" s="530" t="s">
        <v>61</v>
      </c>
    </row>
    <row r="598" spans="1:21" ht="13.8" x14ac:dyDescent="0.3">
      <c r="A598" s="530" t="str">
        <f t="shared" si="18"/>
        <v>North Wales.2022.Vehicle Days.Day Visitor</v>
      </c>
      <c r="B598" s="530" t="s">
        <v>220</v>
      </c>
      <c r="C598" s="530" t="str">
        <f t="shared" si="19"/>
        <v>2022.Vehicle Days.Day Visitor</v>
      </c>
      <c r="D598" s="530" t="s">
        <v>248</v>
      </c>
      <c r="E598" s="530" t="s">
        <v>21</v>
      </c>
      <c r="F598" s="530" t="s">
        <v>71</v>
      </c>
      <c r="G598" s="530" t="s">
        <v>71</v>
      </c>
      <c r="H598" s="530">
        <v>131.81318351920316</v>
      </c>
      <c r="I598" s="530">
        <v>159.94033413228635</v>
      </c>
      <c r="J598" s="530">
        <v>369.12837437473706</v>
      </c>
      <c r="K598" s="530">
        <v>418.02980154256807</v>
      </c>
      <c r="L598" s="530">
        <v>411.29526731684115</v>
      </c>
      <c r="M598" s="530">
        <v>570.92574491702624</v>
      </c>
      <c r="N598" s="530">
        <v>660.0091892280891</v>
      </c>
      <c r="O598" s="530">
        <v>834.48450585834769</v>
      </c>
      <c r="P598" s="530">
        <v>395.7926423585302</v>
      </c>
      <c r="Q598" s="530">
        <v>387.5186115251301</v>
      </c>
      <c r="R598" s="530">
        <v>198.93009225494384</v>
      </c>
      <c r="S598" s="530">
        <v>110.39834483920353</v>
      </c>
      <c r="T598" s="530">
        <v>4648.2660918669062</v>
      </c>
      <c r="U598" s="530" t="s">
        <v>61</v>
      </c>
    </row>
    <row r="599" spans="1:21" ht="13.8" x14ac:dyDescent="0.3">
      <c r="A599" s="530" t="str">
        <f t="shared" si="18"/>
        <v>North Wales.2022.Vehicle Days.Total</v>
      </c>
      <c r="B599" s="530" t="s">
        <v>220</v>
      </c>
      <c r="C599" s="530" t="str">
        <f t="shared" si="19"/>
        <v>2022.Vehicle Days.Total</v>
      </c>
      <c r="D599" s="530" t="s">
        <v>248</v>
      </c>
      <c r="E599" s="530" t="s">
        <v>21</v>
      </c>
      <c r="F599" s="530" t="s">
        <v>54</v>
      </c>
      <c r="G599" s="530" t="s">
        <v>54</v>
      </c>
      <c r="H599" s="530">
        <v>560.08440456714925</v>
      </c>
      <c r="I599" s="530">
        <v>694.75342047547986</v>
      </c>
      <c r="J599" s="530">
        <v>1574.4181345836109</v>
      </c>
      <c r="K599" s="530">
        <v>1666.6621772570711</v>
      </c>
      <c r="L599" s="530">
        <v>1803.1181688176111</v>
      </c>
      <c r="M599" s="530">
        <v>2066.5656006964591</v>
      </c>
      <c r="N599" s="530">
        <v>2361.8966960642224</v>
      </c>
      <c r="O599" s="530">
        <v>2524.0938140518401</v>
      </c>
      <c r="P599" s="530">
        <v>1689.3992984264969</v>
      </c>
      <c r="Q599" s="530">
        <v>1576.0094164007621</v>
      </c>
      <c r="R599" s="530">
        <v>802.99896489604873</v>
      </c>
      <c r="S599" s="530">
        <v>559.49184079334668</v>
      </c>
      <c r="T599" s="530">
        <v>17879.491937030096</v>
      </c>
      <c r="U599" s="530" t="s">
        <v>61</v>
      </c>
    </row>
    <row r="600" spans="1:21" ht="13.8" x14ac:dyDescent="0.3">
      <c r="A600" s="530" t="str">
        <f t="shared" si="18"/>
        <v>North Wales.2022.Vehicle Numbers.Serviced Accommodation</v>
      </c>
      <c r="B600" s="530" t="s">
        <v>220</v>
      </c>
      <c r="C600" s="530" t="str">
        <f t="shared" si="19"/>
        <v>2022.Vehicle Numbers.Serviced Accommodation</v>
      </c>
      <c r="D600" s="530" t="s">
        <v>248</v>
      </c>
      <c r="E600" s="530" t="s">
        <v>22</v>
      </c>
      <c r="F600" s="530" t="s">
        <v>43</v>
      </c>
      <c r="G600" s="530" t="s">
        <v>43</v>
      </c>
      <c r="H600" s="530">
        <v>30.09730894730199</v>
      </c>
      <c r="I600" s="530">
        <v>69.402149875720994</v>
      </c>
      <c r="J600" s="530">
        <v>67.375910215816631</v>
      </c>
      <c r="K600" s="530">
        <v>56.180091405494288</v>
      </c>
      <c r="L600" s="530">
        <v>72.808272685272271</v>
      </c>
      <c r="M600" s="530">
        <v>75.498118267437519</v>
      </c>
      <c r="N600" s="530">
        <v>84.684477481256181</v>
      </c>
      <c r="O600" s="530">
        <v>93.494355889200051</v>
      </c>
      <c r="P600" s="530">
        <v>60.064534474531087</v>
      </c>
      <c r="Q600" s="530">
        <v>69.547592551729622</v>
      </c>
      <c r="R600" s="530">
        <v>69.656861197540039</v>
      </c>
      <c r="S600" s="530">
        <v>45.539099090354355</v>
      </c>
      <c r="T600" s="530">
        <v>794.34877208165506</v>
      </c>
      <c r="U600" s="530" t="s">
        <v>61</v>
      </c>
    </row>
    <row r="601" spans="1:21" ht="13.8" x14ac:dyDescent="0.3">
      <c r="A601" s="530" t="str">
        <f t="shared" si="18"/>
        <v>North Wales.2022.Vehicle Numbers.Non-Serviced Accommodation</v>
      </c>
      <c r="B601" s="530" t="s">
        <v>220</v>
      </c>
      <c r="C601" s="530" t="str">
        <f t="shared" si="19"/>
        <v>2022.Vehicle Numbers.Non-Serviced Accommodation</v>
      </c>
      <c r="D601" s="530" t="s">
        <v>248</v>
      </c>
      <c r="E601" s="530" t="s">
        <v>22</v>
      </c>
      <c r="F601" s="530" t="s">
        <v>48</v>
      </c>
      <c r="G601" s="530" t="s">
        <v>48</v>
      </c>
      <c r="H601" s="530">
        <v>80.307995000141716</v>
      </c>
      <c r="I601" s="530">
        <v>98.887192353005844</v>
      </c>
      <c r="J601" s="530">
        <v>216.64765603940023</v>
      </c>
      <c r="K601" s="530">
        <v>168.6177792804171</v>
      </c>
      <c r="L601" s="530">
        <v>178.44502182442713</v>
      </c>
      <c r="M601" s="530">
        <v>193.75167319099921</v>
      </c>
      <c r="N601" s="530">
        <v>212.2658442487795</v>
      </c>
      <c r="O601" s="530">
        <v>193.62113525339976</v>
      </c>
      <c r="P601" s="530">
        <v>172.46380588234484</v>
      </c>
      <c r="Q601" s="530">
        <v>153.40405411208857</v>
      </c>
      <c r="R601" s="530">
        <v>104.34372711794214</v>
      </c>
      <c r="S601" s="530">
        <v>53.399205192948607</v>
      </c>
      <c r="T601" s="530">
        <v>1826.1550894958943</v>
      </c>
      <c r="U601" s="530" t="s">
        <v>61</v>
      </c>
    </row>
    <row r="602" spans="1:21" ht="13.8" x14ac:dyDescent="0.3">
      <c r="A602" s="530" t="str">
        <f t="shared" si="18"/>
        <v>North Wales.2022.Vehicle Numbers.SFR</v>
      </c>
      <c r="B602" s="530" t="s">
        <v>220</v>
      </c>
      <c r="C602" s="530" t="str">
        <f t="shared" si="19"/>
        <v>2022.Vehicle Numbers.SFR</v>
      </c>
      <c r="D602" s="530" t="s">
        <v>248</v>
      </c>
      <c r="E602" s="530" t="s">
        <v>22</v>
      </c>
      <c r="F602" s="530" t="s">
        <v>18</v>
      </c>
      <c r="G602" s="530" t="s">
        <v>18</v>
      </c>
      <c r="H602" s="530">
        <v>43.246670454545452</v>
      </c>
      <c r="I602" s="530">
        <v>17.298668181818179</v>
      </c>
      <c r="J602" s="530">
        <v>19.220742424242424</v>
      </c>
      <c r="K602" s="530">
        <v>36.519410606060603</v>
      </c>
      <c r="L602" s="530">
        <v>28.831113636363639</v>
      </c>
      <c r="M602" s="530">
        <v>23.266708704545454</v>
      </c>
      <c r="N602" s="530">
        <v>31.714224999999999</v>
      </c>
      <c r="O602" s="530">
        <v>32.281236901515143</v>
      </c>
      <c r="P602" s="530">
        <v>19.922299522727272</v>
      </c>
      <c r="Q602" s="530">
        <v>20.181779545454546</v>
      </c>
      <c r="R602" s="530">
        <v>16.577890340909089</v>
      </c>
      <c r="S602" s="530">
        <v>37.480447727272725</v>
      </c>
      <c r="T602" s="530">
        <v>326.54119304545458</v>
      </c>
      <c r="U602" s="530" t="s">
        <v>61</v>
      </c>
    </row>
    <row r="603" spans="1:21" ht="13.8" x14ac:dyDescent="0.3">
      <c r="A603" s="530" t="str">
        <f t="shared" si="18"/>
        <v>North Wales.2022.Vehicle Numbers.Day Visitor</v>
      </c>
      <c r="B603" s="530" t="s">
        <v>220</v>
      </c>
      <c r="C603" s="530" t="str">
        <f t="shared" si="19"/>
        <v>2022.Vehicle Numbers.Day Visitor</v>
      </c>
      <c r="D603" s="530" t="s">
        <v>248</v>
      </c>
      <c r="E603" s="530" t="s">
        <v>22</v>
      </c>
      <c r="F603" s="530" t="s">
        <v>71</v>
      </c>
      <c r="G603" s="530" t="s">
        <v>71</v>
      </c>
      <c r="H603" s="530">
        <v>131.81318351920316</v>
      </c>
      <c r="I603" s="530">
        <v>159.94033413228635</v>
      </c>
      <c r="J603" s="530">
        <v>369.12837437473706</v>
      </c>
      <c r="K603" s="530">
        <v>418.02980154256807</v>
      </c>
      <c r="L603" s="530">
        <v>411.29526731684115</v>
      </c>
      <c r="M603" s="530">
        <v>570.92574491702624</v>
      </c>
      <c r="N603" s="530">
        <v>660.0091892280891</v>
      </c>
      <c r="O603" s="530">
        <v>834.48450585834769</v>
      </c>
      <c r="P603" s="530">
        <v>395.7926423585302</v>
      </c>
      <c r="Q603" s="530">
        <v>387.5186115251301</v>
      </c>
      <c r="R603" s="530">
        <v>198.93009225494384</v>
      </c>
      <c r="S603" s="530">
        <v>110.39834483920353</v>
      </c>
      <c r="T603" s="530">
        <v>4648.2660918669062</v>
      </c>
      <c r="U603" s="530" t="s">
        <v>61</v>
      </c>
    </row>
    <row r="604" spans="1:21" ht="13.8" x14ac:dyDescent="0.3">
      <c r="A604" s="530" t="str">
        <f t="shared" si="18"/>
        <v>North Wales.2022.Vehicle Numbers.Total</v>
      </c>
      <c r="B604" s="530" t="s">
        <v>220</v>
      </c>
      <c r="C604" s="530" t="str">
        <f t="shared" si="19"/>
        <v>2022.Vehicle Numbers.Total</v>
      </c>
      <c r="D604" s="530" t="s">
        <v>248</v>
      </c>
      <c r="E604" s="530" t="s">
        <v>22</v>
      </c>
      <c r="F604" s="530" t="s">
        <v>54</v>
      </c>
      <c r="G604" s="530" t="s">
        <v>54</v>
      </c>
      <c r="H604" s="530">
        <v>285.46515792119231</v>
      </c>
      <c r="I604" s="530">
        <v>345.52834454283141</v>
      </c>
      <c r="J604" s="530">
        <v>672.37268305419639</v>
      </c>
      <c r="K604" s="530">
        <v>679.34708283454006</v>
      </c>
      <c r="L604" s="530">
        <v>691.37967546290417</v>
      </c>
      <c r="M604" s="530">
        <v>863.44224508000843</v>
      </c>
      <c r="N604" s="530">
        <v>988.67373595812478</v>
      </c>
      <c r="O604" s="530">
        <v>1153.8812339024626</v>
      </c>
      <c r="P604" s="530">
        <v>648.24328223813336</v>
      </c>
      <c r="Q604" s="530">
        <v>630.65203773440282</v>
      </c>
      <c r="R604" s="530">
        <v>389.50857091133508</v>
      </c>
      <c r="S604" s="530">
        <v>246.8170968497792</v>
      </c>
      <c r="T604" s="530">
        <v>7595.3111464899112</v>
      </c>
      <c r="U604" s="530" t="s">
        <v>61</v>
      </c>
    </row>
    <row r="605" spans="1:21" ht="13.8" x14ac:dyDescent="0.3">
      <c r="A605" s="530" t="str">
        <f t="shared" si="18"/>
        <v>North Wales.2022.Accommodation.Serviced Accommodation</v>
      </c>
      <c r="B605" s="530" t="s">
        <v>220</v>
      </c>
      <c r="C605" s="530" t="str">
        <f t="shared" si="19"/>
        <v>2022.Accommodation.Serviced Accommodation</v>
      </c>
      <c r="D605" s="530" t="s">
        <v>248</v>
      </c>
      <c r="E605" s="530" t="s">
        <v>23</v>
      </c>
      <c r="F605" s="530" t="s">
        <v>43</v>
      </c>
      <c r="G605" s="530" t="s">
        <v>43</v>
      </c>
      <c r="H605" s="530">
        <v>22455</v>
      </c>
      <c r="I605" s="530">
        <v>23403</v>
      </c>
      <c r="J605" s="530">
        <v>24347</v>
      </c>
      <c r="K605" s="530">
        <v>24789</v>
      </c>
      <c r="L605" s="530">
        <v>24781</v>
      </c>
      <c r="M605" s="530">
        <v>24786</v>
      </c>
      <c r="N605" s="530">
        <v>24806</v>
      </c>
      <c r="O605" s="530">
        <v>24806</v>
      </c>
      <c r="P605" s="530">
        <v>24786</v>
      </c>
      <c r="Q605" s="530">
        <v>24678</v>
      </c>
      <c r="R605" s="530">
        <v>24109</v>
      </c>
      <c r="S605" s="530">
        <v>23469</v>
      </c>
      <c r="T605" s="530">
        <v>24806</v>
      </c>
      <c r="U605" s="530" t="s">
        <v>58</v>
      </c>
    </row>
    <row r="606" spans="1:21" ht="13.8" x14ac:dyDescent="0.3">
      <c r="A606" s="530" t="str">
        <f t="shared" si="18"/>
        <v>North Wales.2022.Accommodation.Non-Serviced Accommodation</v>
      </c>
      <c r="B606" s="530" t="s">
        <v>220</v>
      </c>
      <c r="C606" s="530" t="str">
        <f t="shared" si="19"/>
        <v>2022.Accommodation.Non-Serviced Accommodation</v>
      </c>
      <c r="D606" s="530" t="s">
        <v>248</v>
      </c>
      <c r="E606" s="530" t="s">
        <v>23</v>
      </c>
      <c r="F606" s="530" t="s">
        <v>48</v>
      </c>
      <c r="G606" s="530" t="s">
        <v>48</v>
      </c>
      <c r="H606" s="530">
        <v>80859.259658539348</v>
      </c>
      <c r="I606" s="530">
        <v>82384.183340939402</v>
      </c>
      <c r="J606" s="530">
        <v>219975.68193417761</v>
      </c>
      <c r="K606" s="530">
        <v>236601.32403351369</v>
      </c>
      <c r="L606" s="530">
        <v>234802.52877730867</v>
      </c>
      <c r="M606" s="530">
        <v>238186.33884987709</v>
      </c>
      <c r="N606" s="530">
        <v>236904.00732419544</v>
      </c>
      <c r="O606" s="530">
        <v>236565.25935054087</v>
      </c>
      <c r="P606" s="530">
        <v>239020.55180380552</v>
      </c>
      <c r="Q606" s="530">
        <v>235136.36983496102</v>
      </c>
      <c r="R606" s="530">
        <v>139788.05144773427</v>
      </c>
      <c r="S606" s="530">
        <v>108303.02150799999</v>
      </c>
      <c r="T606" s="530">
        <v>239020.55180380552</v>
      </c>
      <c r="U606" s="530" t="s">
        <v>58</v>
      </c>
    </row>
    <row r="607" spans="1:21" ht="13.8" x14ac:dyDescent="0.3">
      <c r="A607" s="530" t="str">
        <f t="shared" si="18"/>
        <v>North Wales.2022.Accommodation.Total</v>
      </c>
      <c r="B607" s="530" t="s">
        <v>220</v>
      </c>
      <c r="C607" s="530" t="str">
        <f t="shared" si="19"/>
        <v>2022.Accommodation.Total</v>
      </c>
      <c r="D607" s="530" t="s">
        <v>248</v>
      </c>
      <c r="E607" s="530" t="s">
        <v>23</v>
      </c>
      <c r="F607" s="530" t="s">
        <v>54</v>
      </c>
      <c r="G607" s="530" t="s">
        <v>54</v>
      </c>
      <c r="H607" s="530">
        <v>103314.25965853935</v>
      </c>
      <c r="I607" s="530">
        <v>105787.1833409394</v>
      </c>
      <c r="J607" s="530">
        <v>244322.68193417761</v>
      </c>
      <c r="K607" s="530">
        <v>261390.32403351369</v>
      </c>
      <c r="L607" s="530">
        <v>259583.52877730867</v>
      </c>
      <c r="M607" s="530">
        <v>262972.33884987712</v>
      </c>
      <c r="N607" s="530">
        <v>261710.00732419544</v>
      </c>
      <c r="O607" s="530">
        <v>261371.25935054087</v>
      </c>
      <c r="P607" s="530">
        <v>263806.55180380552</v>
      </c>
      <c r="Q607" s="530">
        <v>259814.36983496102</v>
      </c>
      <c r="R607" s="530">
        <v>163897.05144773427</v>
      </c>
      <c r="S607" s="530">
        <v>131772.02150799998</v>
      </c>
      <c r="T607" s="530">
        <v>263806.55180380552</v>
      </c>
      <c r="U607" s="530" t="s">
        <v>58</v>
      </c>
    </row>
    <row r="608" spans="1:21" ht="13.8" x14ac:dyDescent="0.3">
      <c r="A608" s="530" t="str">
        <f t="shared" si="18"/>
        <v>North Wales.2022.Economic Impact.Total</v>
      </c>
      <c r="B608" s="530" t="s">
        <v>220</v>
      </c>
      <c r="C608" s="530" t="str">
        <f t="shared" si="19"/>
        <v>2022.Economic Impact.Total</v>
      </c>
      <c r="D608" s="530" t="s">
        <v>248</v>
      </c>
      <c r="E608" s="530" t="s">
        <v>17</v>
      </c>
      <c r="F608" s="530" t="s">
        <v>54</v>
      </c>
      <c r="G608" s="530" t="s">
        <v>54</v>
      </c>
      <c r="H608" s="530">
        <v>131685.51792690807</v>
      </c>
      <c r="I608" s="530">
        <v>153489.57081713533</v>
      </c>
      <c r="J608" s="530">
        <v>330566.80716469069</v>
      </c>
      <c r="K608" s="530">
        <v>378715.61828543933</v>
      </c>
      <c r="L608" s="530">
        <v>399268.55624317209</v>
      </c>
      <c r="M608" s="530">
        <v>440370.25803086587</v>
      </c>
      <c r="N608" s="530">
        <v>579894.93842291238</v>
      </c>
      <c r="O608" s="530">
        <v>630004.76844196965</v>
      </c>
      <c r="P608" s="530">
        <v>428620.66337549</v>
      </c>
      <c r="Q608" s="530">
        <v>341523.85138245235</v>
      </c>
      <c r="R608" s="530">
        <v>190841.88159988026</v>
      </c>
      <c r="S608" s="530">
        <v>153151.32938730542</v>
      </c>
      <c r="T608" s="530">
        <v>4158133.7610782213</v>
      </c>
      <c r="U608" s="530" t="s">
        <v>57</v>
      </c>
    </row>
    <row r="609" spans="1:21" ht="13.8" x14ac:dyDescent="0.3">
      <c r="A609" s="530" t="str">
        <f t="shared" si="18"/>
        <v>North Wales.2011.Accommodation - Establishments.Serviced Accommodation 1</v>
      </c>
      <c r="B609" s="530" t="s">
        <v>220</v>
      </c>
      <c r="C609" s="530" t="str">
        <f t="shared" si="19"/>
        <v>2011.Accommodation - Establishments.Serviced Accommodation 1</v>
      </c>
      <c r="D609" s="530" t="s">
        <v>219</v>
      </c>
      <c r="E609" s="530" t="s">
        <v>150</v>
      </c>
      <c r="F609" s="530" t="s">
        <v>151</v>
      </c>
      <c r="G609" s="530" t="s">
        <v>221</v>
      </c>
      <c r="H609" s="530"/>
      <c r="I609" s="530"/>
      <c r="J609" s="530"/>
      <c r="K609" s="530"/>
      <c r="L609" s="530"/>
      <c r="M609" s="530"/>
      <c r="N609" s="530"/>
      <c r="O609" s="530"/>
      <c r="P609" s="530"/>
      <c r="Q609" s="530"/>
      <c r="R609" s="530"/>
      <c r="S609" s="530"/>
      <c r="T609" s="530" t="s">
        <v>225</v>
      </c>
      <c r="U609" s="530" t="s">
        <v>149</v>
      </c>
    </row>
    <row r="610" spans="1:21" ht="13.8" x14ac:dyDescent="0.3">
      <c r="A610" s="530" t="str">
        <f t="shared" si="18"/>
        <v>North Wales.2011.Accommodation - Establishments.Serviced Accommodation 2</v>
      </c>
      <c r="B610" s="530" t="s">
        <v>220</v>
      </c>
      <c r="C610" s="530" t="str">
        <f t="shared" si="19"/>
        <v>2011.Accommodation - Establishments.Serviced Accommodation 2</v>
      </c>
      <c r="D610" s="530" t="s">
        <v>219</v>
      </c>
      <c r="E610" s="530" t="s">
        <v>150</v>
      </c>
      <c r="F610" s="530" t="s">
        <v>152</v>
      </c>
      <c r="G610" s="530" t="s">
        <v>222</v>
      </c>
      <c r="H610" s="530"/>
      <c r="I610" s="530"/>
      <c r="J610" s="530"/>
      <c r="K610" s="530"/>
      <c r="L610" s="530"/>
      <c r="M610" s="530"/>
      <c r="N610" s="530"/>
      <c r="O610" s="530"/>
      <c r="P610" s="530"/>
      <c r="Q610" s="530"/>
      <c r="R610" s="530"/>
      <c r="S610" s="530"/>
      <c r="T610" s="530" t="s">
        <v>226</v>
      </c>
      <c r="U610" s="530" t="s">
        <v>149</v>
      </c>
    </row>
    <row r="611" spans="1:21" ht="13.8" x14ac:dyDescent="0.3">
      <c r="A611" s="530" t="str">
        <f t="shared" si="18"/>
        <v>North Wales.2011.Accommodation - Establishments.Serviced Accommodation 3</v>
      </c>
      <c r="B611" s="530" t="s">
        <v>220</v>
      </c>
      <c r="C611" s="530" t="str">
        <f t="shared" si="19"/>
        <v>2011.Accommodation - Establishments.Serviced Accommodation 3</v>
      </c>
      <c r="D611" s="530" t="s">
        <v>219</v>
      </c>
      <c r="E611" s="530" t="s">
        <v>150</v>
      </c>
      <c r="F611" s="530" t="s">
        <v>153</v>
      </c>
      <c r="G611" s="530" t="s">
        <v>223</v>
      </c>
      <c r="H611" s="530"/>
      <c r="I611" s="530"/>
      <c r="J611" s="530"/>
      <c r="K611" s="530"/>
      <c r="L611" s="530"/>
      <c r="M611" s="530"/>
      <c r="N611" s="530"/>
      <c r="O611" s="530"/>
      <c r="P611" s="530"/>
      <c r="Q611" s="530"/>
      <c r="R611" s="530"/>
      <c r="S611" s="530"/>
      <c r="T611" s="530" t="s">
        <v>223</v>
      </c>
      <c r="U611" s="530" t="s">
        <v>149</v>
      </c>
    </row>
    <row r="612" spans="1:21" ht="13.8" x14ac:dyDescent="0.3">
      <c r="A612" s="530" t="str">
        <f t="shared" si="18"/>
        <v>North Wales.2011.Accommodation - Establishments.Serviced Accommodation 4</v>
      </c>
      <c r="B612" s="530" t="s">
        <v>220</v>
      </c>
      <c r="C612" s="530" t="str">
        <f t="shared" si="19"/>
        <v>2011.Accommodation - Establishments.Serviced Accommodation 4</v>
      </c>
      <c r="D612" s="530" t="s">
        <v>219</v>
      </c>
      <c r="E612" s="530" t="s">
        <v>150</v>
      </c>
      <c r="F612" s="530" t="s">
        <v>154</v>
      </c>
      <c r="G612" s="530" t="s">
        <v>223</v>
      </c>
      <c r="H612" s="530"/>
      <c r="I612" s="530"/>
      <c r="J612" s="530"/>
      <c r="K612" s="530"/>
      <c r="L612" s="530"/>
      <c r="M612" s="530"/>
      <c r="N612" s="530"/>
      <c r="O612" s="530"/>
      <c r="P612" s="530"/>
      <c r="Q612" s="530"/>
      <c r="R612" s="530"/>
      <c r="S612" s="530"/>
      <c r="T612" s="530" t="s">
        <v>223</v>
      </c>
      <c r="U612" s="530" t="s">
        <v>149</v>
      </c>
    </row>
    <row r="613" spans="1:21" ht="13.8" x14ac:dyDescent="0.3">
      <c r="A613" s="530" t="str">
        <f t="shared" si="18"/>
        <v>North Wales.2011.Accommodation - Establishments.Serviced Accommodation 5</v>
      </c>
      <c r="B613" s="530" t="s">
        <v>220</v>
      </c>
      <c r="C613" s="530" t="str">
        <f t="shared" si="19"/>
        <v>2011.Accommodation - Establishments.Serviced Accommodation 5</v>
      </c>
      <c r="D613" s="530" t="s">
        <v>219</v>
      </c>
      <c r="E613" s="530" t="s">
        <v>150</v>
      </c>
      <c r="F613" s="530" t="s">
        <v>155</v>
      </c>
      <c r="G613" s="530" t="s">
        <v>223</v>
      </c>
      <c r="H613" s="530"/>
      <c r="I613" s="530"/>
      <c r="J613" s="530"/>
      <c r="K613" s="530"/>
      <c r="L613" s="530"/>
      <c r="M613" s="530"/>
      <c r="N613" s="530"/>
      <c r="O613" s="530"/>
      <c r="P613" s="530"/>
      <c r="Q613" s="530"/>
      <c r="R613" s="530"/>
      <c r="S613" s="530"/>
      <c r="T613" s="530" t="s">
        <v>223</v>
      </c>
      <c r="U613" s="530" t="s">
        <v>149</v>
      </c>
    </row>
    <row r="614" spans="1:21" ht="15" customHeight="1" x14ac:dyDescent="0.3">
      <c r="A614" s="530" t="str">
        <f t="shared" si="18"/>
        <v>North Wales.2011.Accommodation - Establishments.Serviced Accommodation Total</v>
      </c>
      <c r="B614" s="530" t="s">
        <v>220</v>
      </c>
      <c r="C614" s="530" t="str">
        <f t="shared" si="19"/>
        <v>2011.Accommodation - Establishments.Serviced Accommodation Total</v>
      </c>
      <c r="D614" s="530" t="s">
        <v>219</v>
      </c>
      <c r="E614" s="530" t="s">
        <v>150</v>
      </c>
      <c r="F614" s="530" t="s">
        <v>161</v>
      </c>
      <c r="G614" s="530" t="s">
        <v>224</v>
      </c>
      <c r="H614" s="530"/>
      <c r="I614" s="530"/>
      <c r="J614" s="530"/>
      <c r="K614" s="530"/>
      <c r="L614" s="530"/>
      <c r="M614" s="530"/>
      <c r="N614" s="530"/>
      <c r="O614" s="530"/>
      <c r="P614" s="530"/>
      <c r="Q614" s="530"/>
      <c r="R614" s="530"/>
      <c r="S614" s="530"/>
      <c r="T614" s="530" t="s">
        <v>227</v>
      </c>
      <c r="U614" s="530" t="s">
        <v>149</v>
      </c>
    </row>
    <row r="615" spans="1:21" ht="15" customHeight="1" x14ac:dyDescent="0.3">
      <c r="A615" s="530" t="str">
        <f t="shared" si="18"/>
        <v>North Wales.2011.Accommodation - Establishments.Non-Serviced Accommodation 1</v>
      </c>
      <c r="B615" s="530" t="s">
        <v>220</v>
      </c>
      <c r="C615" s="530" t="str">
        <f t="shared" si="19"/>
        <v>2011.Accommodation - Establishments.Non-Serviced Accommodation 1</v>
      </c>
      <c r="D615" s="530" t="s">
        <v>219</v>
      </c>
      <c r="E615" s="530" t="s">
        <v>150</v>
      </c>
      <c r="F615" s="530" t="s">
        <v>156</v>
      </c>
      <c r="G615" s="530" t="s">
        <v>223</v>
      </c>
      <c r="H615" s="530"/>
      <c r="I615" s="530"/>
      <c r="J615" s="530"/>
      <c r="K615" s="530"/>
      <c r="L615" s="530"/>
      <c r="M615" s="530"/>
      <c r="N615" s="530"/>
      <c r="O615" s="530"/>
      <c r="P615" s="530"/>
      <c r="Q615" s="530"/>
      <c r="R615" s="530"/>
      <c r="S615" s="530"/>
      <c r="T615" s="530" t="s">
        <v>223</v>
      </c>
      <c r="U615" s="530" t="s">
        <v>149</v>
      </c>
    </row>
    <row r="616" spans="1:21" ht="15" customHeight="1" x14ac:dyDescent="0.3">
      <c r="A616" s="530" t="str">
        <f t="shared" si="18"/>
        <v>North Wales.2011.Accommodation - Establishments.Non-Serviced Accommodation 2</v>
      </c>
      <c r="B616" s="530" t="s">
        <v>220</v>
      </c>
      <c r="C616" s="530" t="str">
        <f t="shared" si="19"/>
        <v>2011.Accommodation - Establishments.Non-Serviced Accommodation 2</v>
      </c>
      <c r="D616" s="530" t="s">
        <v>219</v>
      </c>
      <c r="E616" s="530" t="s">
        <v>150</v>
      </c>
      <c r="F616" s="530" t="s">
        <v>157</v>
      </c>
      <c r="G616" s="530" t="s">
        <v>224</v>
      </c>
      <c r="H616" s="530"/>
      <c r="I616" s="530"/>
      <c r="J616" s="530"/>
      <c r="K616" s="530"/>
      <c r="L616" s="530"/>
      <c r="M616" s="530"/>
      <c r="N616" s="530"/>
      <c r="O616" s="530"/>
      <c r="P616" s="530"/>
      <c r="Q616" s="530"/>
      <c r="R616" s="530"/>
      <c r="S616" s="530"/>
      <c r="T616" s="530" t="s">
        <v>228</v>
      </c>
      <c r="U616" s="530" t="s">
        <v>149</v>
      </c>
    </row>
    <row r="617" spans="1:21" ht="15" customHeight="1" x14ac:dyDescent="0.3">
      <c r="A617" s="530" t="str">
        <f t="shared" si="18"/>
        <v>North Wales.2011.Accommodation - Establishments.Non-Serviced Accommodation 3</v>
      </c>
      <c r="B617" s="530" t="s">
        <v>220</v>
      </c>
      <c r="C617" s="530" t="str">
        <f t="shared" si="19"/>
        <v>2011.Accommodation - Establishments.Non-Serviced Accommodation 3</v>
      </c>
      <c r="D617" s="530" t="s">
        <v>219</v>
      </c>
      <c r="E617" s="530" t="s">
        <v>150</v>
      </c>
      <c r="F617" s="530" t="s">
        <v>158</v>
      </c>
      <c r="G617" s="530" t="s">
        <v>223</v>
      </c>
      <c r="H617" s="530"/>
      <c r="I617" s="530"/>
      <c r="J617" s="530"/>
      <c r="K617" s="530"/>
      <c r="L617" s="530"/>
      <c r="M617" s="530"/>
      <c r="N617" s="530"/>
      <c r="O617" s="530"/>
      <c r="P617" s="530"/>
      <c r="Q617" s="530"/>
      <c r="R617" s="530"/>
      <c r="S617" s="530"/>
      <c r="T617" s="530" t="s">
        <v>223</v>
      </c>
      <c r="U617" s="530" t="s">
        <v>149</v>
      </c>
    </row>
    <row r="618" spans="1:21" ht="15" customHeight="1" x14ac:dyDescent="0.3">
      <c r="A618" s="530" t="str">
        <f t="shared" si="18"/>
        <v>North Wales.2011.Accommodation - Establishments.Non-Serviced Accommodation 4</v>
      </c>
      <c r="B618" s="530" t="s">
        <v>220</v>
      </c>
      <c r="C618" s="530" t="str">
        <f t="shared" si="19"/>
        <v>2011.Accommodation - Establishments.Non-Serviced Accommodation 4</v>
      </c>
      <c r="D618" s="530" t="s">
        <v>219</v>
      </c>
      <c r="E618" s="530" t="s">
        <v>150</v>
      </c>
      <c r="F618" s="530" t="s">
        <v>159</v>
      </c>
      <c r="G618" s="530" t="s">
        <v>222</v>
      </c>
      <c r="H618" s="530"/>
      <c r="I618" s="530"/>
      <c r="J618" s="530"/>
      <c r="K618" s="530"/>
      <c r="L618" s="530"/>
      <c r="M618" s="530"/>
      <c r="N618" s="530"/>
      <c r="O618" s="530"/>
      <c r="P618" s="530"/>
      <c r="Q618" s="530"/>
      <c r="R618" s="530"/>
      <c r="S618" s="530"/>
      <c r="T618" s="530" t="s">
        <v>226</v>
      </c>
      <c r="U618" s="530" t="s">
        <v>149</v>
      </c>
    </row>
    <row r="619" spans="1:21" ht="15" customHeight="1" x14ac:dyDescent="0.3">
      <c r="A619" s="530" t="str">
        <f t="shared" si="18"/>
        <v>North Wales.2011.Accommodation - Establishments.Non-Serviced Accommodation 5</v>
      </c>
      <c r="B619" s="530" t="s">
        <v>220</v>
      </c>
      <c r="C619" s="530" t="str">
        <f t="shared" si="19"/>
        <v>2011.Accommodation - Establishments.Non-Serviced Accommodation 5</v>
      </c>
      <c r="D619" s="530" t="s">
        <v>219</v>
      </c>
      <c r="E619" s="530" t="s">
        <v>150</v>
      </c>
      <c r="F619" s="530" t="s">
        <v>160</v>
      </c>
      <c r="G619" s="530" t="s">
        <v>223</v>
      </c>
      <c r="H619" s="530"/>
      <c r="I619" s="530"/>
      <c r="J619" s="530"/>
      <c r="K619" s="530"/>
      <c r="L619" s="530"/>
      <c r="M619" s="530"/>
      <c r="N619" s="530"/>
      <c r="O619" s="530"/>
      <c r="P619" s="530"/>
      <c r="Q619" s="530"/>
      <c r="R619" s="530"/>
      <c r="S619" s="530"/>
      <c r="T619" s="530" t="s">
        <v>223</v>
      </c>
      <c r="U619" s="530" t="s">
        <v>149</v>
      </c>
    </row>
    <row r="620" spans="1:21" ht="15" customHeight="1" x14ac:dyDescent="0.3">
      <c r="A620" s="530" t="str">
        <f t="shared" si="18"/>
        <v>North Wales.2011.Accommodation - Establishments.Non-Serviced Accommodation Total</v>
      </c>
      <c r="B620" s="530" t="s">
        <v>220</v>
      </c>
      <c r="C620" s="530" t="str">
        <f t="shared" si="19"/>
        <v>2011.Accommodation - Establishments.Non-Serviced Accommodation Total</v>
      </c>
      <c r="D620" s="530" t="s">
        <v>219</v>
      </c>
      <c r="E620" s="530" t="s">
        <v>150</v>
      </c>
      <c r="F620" s="530" t="s">
        <v>162</v>
      </c>
      <c r="G620" s="530" t="s">
        <v>223</v>
      </c>
      <c r="H620" s="530"/>
      <c r="I620" s="530"/>
      <c r="J620" s="530"/>
      <c r="K620" s="530"/>
      <c r="L620" s="530"/>
      <c r="M620" s="530"/>
      <c r="N620" s="530"/>
      <c r="O620" s="530"/>
      <c r="P620" s="530"/>
      <c r="Q620" s="530"/>
      <c r="R620" s="530"/>
      <c r="S620" s="530"/>
      <c r="T620" s="530" t="s">
        <v>223</v>
      </c>
      <c r="U620" s="530" t="s">
        <v>149</v>
      </c>
    </row>
    <row r="621" spans="1:21" ht="15" customHeight="1" x14ac:dyDescent="0.3">
      <c r="A621" s="530" t="str">
        <f t="shared" si="18"/>
        <v>North Wales.2011.Accommodation - Establishments.All Accommodation Types</v>
      </c>
      <c r="B621" s="530" t="s">
        <v>220</v>
      </c>
      <c r="C621" s="530" t="str">
        <f t="shared" si="19"/>
        <v>2011.Accommodation - Establishments.All Accommodation Types</v>
      </c>
      <c r="D621" s="530" t="s">
        <v>219</v>
      </c>
      <c r="E621" s="530" t="s">
        <v>150</v>
      </c>
      <c r="F621" s="530" t="s">
        <v>163</v>
      </c>
      <c r="G621" s="530" t="s">
        <v>223</v>
      </c>
      <c r="H621" s="530"/>
      <c r="I621" s="530"/>
      <c r="J621" s="530"/>
      <c r="K621" s="530"/>
      <c r="L621" s="530"/>
      <c r="M621" s="530"/>
      <c r="N621" s="530"/>
      <c r="O621" s="530"/>
      <c r="P621" s="530"/>
      <c r="Q621" s="530"/>
      <c r="R621" s="530"/>
      <c r="S621" s="530"/>
      <c r="T621" s="530" t="s">
        <v>223</v>
      </c>
      <c r="U621" s="530" t="s">
        <v>149</v>
      </c>
    </row>
    <row r="622" spans="1:21" ht="13.8" x14ac:dyDescent="0.3">
      <c r="A622" s="530" t="str">
        <f t="shared" si="18"/>
        <v>North Wales.2011.Accommodation - Bed Spaces.Serviced Accommodation 1</v>
      </c>
      <c r="B622" s="530" t="s">
        <v>220</v>
      </c>
      <c r="C622" s="530" t="str">
        <f t="shared" si="19"/>
        <v>2011.Accommodation - Bed Spaces.Serviced Accommodation 1</v>
      </c>
      <c r="D622" s="530" t="s">
        <v>219</v>
      </c>
      <c r="E622" s="530" t="s">
        <v>164</v>
      </c>
      <c r="F622" s="530" t="s">
        <v>151</v>
      </c>
      <c r="G622" s="530" t="s">
        <v>221</v>
      </c>
      <c r="H622" s="530"/>
      <c r="I622" s="530"/>
      <c r="J622" s="530"/>
      <c r="K622" s="530"/>
      <c r="L622" s="530"/>
      <c r="M622" s="530"/>
      <c r="N622" s="530"/>
      <c r="O622" s="530"/>
      <c r="P622" s="530"/>
      <c r="Q622" s="530"/>
      <c r="R622" s="530"/>
      <c r="S622" s="530"/>
      <c r="T622" s="530">
        <v>0</v>
      </c>
      <c r="U622" s="530" t="s">
        <v>58</v>
      </c>
    </row>
    <row r="623" spans="1:21" ht="13.8" x14ac:dyDescent="0.3">
      <c r="A623" s="530" t="str">
        <f t="shared" si="18"/>
        <v>North Wales.2011.Accommodation - Bed Spaces.Serviced Accommodation 2</v>
      </c>
      <c r="B623" s="530" t="s">
        <v>220</v>
      </c>
      <c r="C623" s="530" t="str">
        <f t="shared" si="19"/>
        <v>2011.Accommodation - Bed Spaces.Serviced Accommodation 2</v>
      </c>
      <c r="D623" s="530" t="s">
        <v>219</v>
      </c>
      <c r="E623" s="530" t="s">
        <v>164</v>
      </c>
      <c r="F623" s="530" t="s">
        <v>152</v>
      </c>
      <c r="G623" s="530" t="s">
        <v>222</v>
      </c>
      <c r="H623" s="530"/>
      <c r="I623" s="530"/>
      <c r="J623" s="530"/>
      <c r="K623" s="530"/>
      <c r="L623" s="530"/>
      <c r="M623" s="530"/>
      <c r="N623" s="530"/>
      <c r="O623" s="530"/>
      <c r="P623" s="530"/>
      <c r="Q623" s="530"/>
      <c r="R623" s="530"/>
      <c r="S623" s="530"/>
      <c r="T623" s="530">
        <v>0</v>
      </c>
      <c r="U623" s="530" t="s">
        <v>58</v>
      </c>
    </row>
    <row r="624" spans="1:21" ht="13.8" x14ac:dyDescent="0.3">
      <c r="A624" s="530" t="str">
        <f t="shared" si="18"/>
        <v>North Wales.2011.Accommodation - Bed Spaces.Serviced Accommodation 3</v>
      </c>
      <c r="B624" s="530" t="s">
        <v>220</v>
      </c>
      <c r="C624" s="530" t="str">
        <f t="shared" si="19"/>
        <v>2011.Accommodation - Bed Spaces.Serviced Accommodation 3</v>
      </c>
      <c r="D624" s="530" t="s">
        <v>219</v>
      </c>
      <c r="E624" s="530" t="s">
        <v>164</v>
      </c>
      <c r="F624" s="530" t="s">
        <v>153</v>
      </c>
      <c r="G624" s="530" t="s">
        <v>223</v>
      </c>
      <c r="H624" s="530"/>
      <c r="I624" s="530"/>
      <c r="J624" s="530"/>
      <c r="K624" s="530"/>
      <c r="L624" s="530"/>
      <c r="M624" s="530"/>
      <c r="N624" s="530"/>
      <c r="O624" s="530"/>
      <c r="P624" s="530"/>
      <c r="Q624" s="530"/>
      <c r="R624" s="530"/>
      <c r="S624" s="530"/>
      <c r="T624" s="530" t="s">
        <v>223</v>
      </c>
      <c r="U624" s="530" t="s">
        <v>58</v>
      </c>
    </row>
    <row r="625" spans="1:21" ht="13.8" x14ac:dyDescent="0.3">
      <c r="A625" s="530" t="str">
        <f t="shared" si="18"/>
        <v>North Wales.2011.Accommodation - Bed Spaces.Serviced Accommodation 4</v>
      </c>
      <c r="B625" s="530" t="s">
        <v>220</v>
      </c>
      <c r="C625" s="530" t="str">
        <f t="shared" si="19"/>
        <v>2011.Accommodation - Bed Spaces.Serviced Accommodation 4</v>
      </c>
      <c r="D625" s="530" t="s">
        <v>219</v>
      </c>
      <c r="E625" s="530" t="s">
        <v>164</v>
      </c>
      <c r="F625" s="530" t="s">
        <v>154</v>
      </c>
      <c r="G625" s="530" t="s">
        <v>223</v>
      </c>
      <c r="H625" s="530"/>
      <c r="I625" s="530"/>
      <c r="J625" s="530"/>
      <c r="K625" s="530"/>
      <c r="L625" s="530"/>
      <c r="M625" s="530"/>
      <c r="N625" s="530"/>
      <c r="O625" s="530"/>
      <c r="P625" s="530"/>
      <c r="Q625" s="530"/>
      <c r="R625" s="530"/>
      <c r="S625" s="530"/>
      <c r="T625" s="530" t="s">
        <v>223</v>
      </c>
      <c r="U625" s="530" t="s">
        <v>58</v>
      </c>
    </row>
    <row r="626" spans="1:21" ht="13.8" x14ac:dyDescent="0.3">
      <c r="A626" s="530" t="str">
        <f t="shared" si="18"/>
        <v>North Wales.2011.Accommodation - Bed Spaces.Serviced Accommodation 5</v>
      </c>
      <c r="B626" s="530" t="s">
        <v>220</v>
      </c>
      <c r="C626" s="530" t="str">
        <f t="shared" si="19"/>
        <v>2011.Accommodation - Bed Spaces.Serviced Accommodation 5</v>
      </c>
      <c r="D626" s="530" t="s">
        <v>219</v>
      </c>
      <c r="E626" s="530" t="s">
        <v>164</v>
      </c>
      <c r="F626" s="530" t="s">
        <v>155</v>
      </c>
      <c r="G626" s="530" t="s">
        <v>223</v>
      </c>
      <c r="H626" s="530"/>
      <c r="I626" s="530"/>
      <c r="J626" s="530"/>
      <c r="K626" s="530"/>
      <c r="L626" s="530"/>
      <c r="M626" s="530"/>
      <c r="N626" s="530"/>
      <c r="O626" s="530"/>
      <c r="P626" s="530"/>
      <c r="Q626" s="530"/>
      <c r="R626" s="530"/>
      <c r="S626" s="530"/>
      <c r="T626" s="530" t="s">
        <v>223</v>
      </c>
      <c r="U626" s="530" t="s">
        <v>58</v>
      </c>
    </row>
    <row r="627" spans="1:21" ht="13.8" x14ac:dyDescent="0.3">
      <c r="A627" s="530" t="str">
        <f t="shared" si="18"/>
        <v>North Wales.2011.Accommodation - Bed Spaces.Serviced Accommodation Total</v>
      </c>
      <c r="B627" s="530" t="s">
        <v>220</v>
      </c>
      <c r="C627" s="530" t="str">
        <f t="shared" si="19"/>
        <v>2011.Accommodation - Bed Spaces.Serviced Accommodation Total</v>
      </c>
      <c r="D627" s="530" t="s">
        <v>219</v>
      </c>
      <c r="E627" s="530" t="s">
        <v>164</v>
      </c>
      <c r="F627" s="530" t="s">
        <v>161</v>
      </c>
      <c r="G627" s="530" t="s">
        <v>224</v>
      </c>
      <c r="H627" s="530"/>
      <c r="I627" s="530"/>
      <c r="J627" s="530"/>
      <c r="K627" s="530"/>
      <c r="L627" s="530"/>
      <c r="M627" s="530"/>
      <c r="N627" s="530"/>
      <c r="O627" s="530"/>
      <c r="P627" s="530"/>
      <c r="Q627" s="530"/>
      <c r="R627" s="530"/>
      <c r="S627" s="530"/>
      <c r="T627" s="530">
        <v>0</v>
      </c>
      <c r="U627" s="530" t="s">
        <v>58</v>
      </c>
    </row>
    <row r="628" spans="1:21" ht="13.8" x14ac:dyDescent="0.3">
      <c r="A628" s="530" t="str">
        <f t="shared" si="18"/>
        <v>North Wales.2011.Accommodation - Bed Spaces.Non-Serviced Accommodation 1</v>
      </c>
      <c r="B628" s="530" t="s">
        <v>220</v>
      </c>
      <c r="C628" s="530" t="str">
        <f t="shared" si="19"/>
        <v>2011.Accommodation - Bed Spaces.Non-Serviced Accommodation 1</v>
      </c>
      <c r="D628" s="530" t="s">
        <v>219</v>
      </c>
      <c r="E628" s="530" t="s">
        <v>164</v>
      </c>
      <c r="F628" s="530" t="s">
        <v>156</v>
      </c>
      <c r="G628" s="530" t="s">
        <v>223</v>
      </c>
      <c r="H628" s="530"/>
      <c r="I628" s="530"/>
      <c r="J628" s="530"/>
      <c r="K628" s="530"/>
      <c r="L628" s="530"/>
      <c r="M628" s="530"/>
      <c r="N628" s="530"/>
      <c r="O628" s="530"/>
      <c r="P628" s="530"/>
      <c r="Q628" s="530"/>
      <c r="R628" s="530"/>
      <c r="S628" s="530"/>
      <c r="T628" s="530" t="s">
        <v>223</v>
      </c>
      <c r="U628" s="530" t="s">
        <v>58</v>
      </c>
    </row>
    <row r="629" spans="1:21" ht="13.8" x14ac:dyDescent="0.3">
      <c r="A629" s="530" t="str">
        <f t="shared" si="18"/>
        <v>North Wales.2011.Accommodation - Bed Spaces.Non-Serviced Accommodation 2</v>
      </c>
      <c r="B629" s="530" t="s">
        <v>220</v>
      </c>
      <c r="C629" s="530" t="str">
        <f t="shared" si="19"/>
        <v>2011.Accommodation - Bed Spaces.Non-Serviced Accommodation 2</v>
      </c>
      <c r="D629" s="530" t="s">
        <v>219</v>
      </c>
      <c r="E629" s="530" t="s">
        <v>164</v>
      </c>
      <c r="F629" s="530" t="s">
        <v>157</v>
      </c>
      <c r="G629" s="530" t="s">
        <v>224</v>
      </c>
      <c r="H629" s="530"/>
      <c r="I629" s="530"/>
      <c r="J629" s="530"/>
      <c r="K629" s="530"/>
      <c r="L629" s="530"/>
      <c r="M629" s="530"/>
      <c r="N629" s="530"/>
      <c r="O629" s="530"/>
      <c r="P629" s="530"/>
      <c r="Q629" s="530"/>
      <c r="R629" s="530"/>
      <c r="S629" s="530"/>
      <c r="T629" s="530">
        <v>0</v>
      </c>
      <c r="U629" s="530" t="s">
        <v>58</v>
      </c>
    </row>
    <row r="630" spans="1:21" ht="13.8" x14ac:dyDescent="0.3">
      <c r="A630" s="530" t="str">
        <f t="shared" si="18"/>
        <v>North Wales.2011.Accommodation - Bed Spaces.Non-Serviced Accommodation 3</v>
      </c>
      <c r="B630" s="530" t="s">
        <v>220</v>
      </c>
      <c r="C630" s="530" t="str">
        <f t="shared" si="19"/>
        <v>2011.Accommodation - Bed Spaces.Non-Serviced Accommodation 3</v>
      </c>
      <c r="D630" s="530" t="s">
        <v>219</v>
      </c>
      <c r="E630" s="530" t="s">
        <v>164</v>
      </c>
      <c r="F630" s="530" t="s">
        <v>158</v>
      </c>
      <c r="G630" s="530" t="s">
        <v>223</v>
      </c>
      <c r="H630" s="530"/>
      <c r="I630" s="530"/>
      <c r="J630" s="530"/>
      <c r="K630" s="530"/>
      <c r="L630" s="530"/>
      <c r="M630" s="530"/>
      <c r="N630" s="530"/>
      <c r="O630" s="530"/>
      <c r="P630" s="530"/>
      <c r="Q630" s="530"/>
      <c r="R630" s="530"/>
      <c r="S630" s="530"/>
      <c r="T630" s="530" t="s">
        <v>223</v>
      </c>
      <c r="U630" s="530" t="s">
        <v>58</v>
      </c>
    </row>
    <row r="631" spans="1:21" ht="13.8" x14ac:dyDescent="0.3">
      <c r="A631" s="530" t="str">
        <f t="shared" si="18"/>
        <v>North Wales.2011.Accommodation - Bed Spaces.Non-Serviced Accommodation 4</v>
      </c>
      <c r="B631" s="530" t="s">
        <v>220</v>
      </c>
      <c r="C631" s="530" t="str">
        <f t="shared" si="19"/>
        <v>2011.Accommodation - Bed Spaces.Non-Serviced Accommodation 4</v>
      </c>
      <c r="D631" s="530" t="s">
        <v>219</v>
      </c>
      <c r="E631" s="530" t="s">
        <v>164</v>
      </c>
      <c r="F631" s="530" t="s">
        <v>159</v>
      </c>
      <c r="G631" s="530" t="s">
        <v>222</v>
      </c>
      <c r="H631" s="530"/>
      <c r="I631" s="530"/>
      <c r="J631" s="530"/>
      <c r="K631" s="530"/>
      <c r="L631" s="530"/>
      <c r="M631" s="530"/>
      <c r="N631" s="530"/>
      <c r="O631" s="530"/>
      <c r="P631" s="530"/>
      <c r="Q631" s="530"/>
      <c r="R631" s="530"/>
      <c r="S631" s="530"/>
      <c r="T631" s="530">
        <v>0</v>
      </c>
      <c r="U631" s="530" t="s">
        <v>58</v>
      </c>
    </row>
    <row r="632" spans="1:21" ht="13.8" x14ac:dyDescent="0.3">
      <c r="A632" s="530" t="str">
        <f t="shared" si="18"/>
        <v>North Wales.2011.Accommodation - Bed Spaces.Non-Serviced Accommodation 5</v>
      </c>
      <c r="B632" s="530" t="s">
        <v>220</v>
      </c>
      <c r="C632" s="530" t="str">
        <f t="shared" si="19"/>
        <v>2011.Accommodation - Bed Spaces.Non-Serviced Accommodation 5</v>
      </c>
      <c r="D632" s="530" t="s">
        <v>219</v>
      </c>
      <c r="E632" s="530" t="s">
        <v>164</v>
      </c>
      <c r="F632" s="530" t="s">
        <v>160</v>
      </c>
      <c r="G632" s="530" t="s">
        <v>223</v>
      </c>
      <c r="H632" s="530"/>
      <c r="I632" s="530"/>
      <c r="J632" s="530"/>
      <c r="K632" s="530"/>
      <c r="L632" s="530"/>
      <c r="M632" s="530"/>
      <c r="N632" s="530"/>
      <c r="O632" s="530"/>
      <c r="P632" s="530"/>
      <c r="Q632" s="530"/>
      <c r="R632" s="530"/>
      <c r="S632" s="530"/>
      <c r="T632" s="530" t="s">
        <v>223</v>
      </c>
      <c r="U632" s="530" t="s">
        <v>58</v>
      </c>
    </row>
    <row r="633" spans="1:21" ht="13.8" x14ac:dyDescent="0.3">
      <c r="A633" s="530" t="str">
        <f t="shared" si="18"/>
        <v>North Wales.2011.Accommodation - Bed Spaces.Non-Serviced Accommodation Total</v>
      </c>
      <c r="B633" s="530" t="s">
        <v>220</v>
      </c>
      <c r="C633" s="530" t="str">
        <f t="shared" si="19"/>
        <v>2011.Accommodation - Bed Spaces.Non-Serviced Accommodation Total</v>
      </c>
      <c r="D633" s="530" t="s">
        <v>219</v>
      </c>
      <c r="E633" s="530" t="s">
        <v>164</v>
      </c>
      <c r="F633" s="530" t="s">
        <v>162</v>
      </c>
      <c r="G633" s="530" t="s">
        <v>223</v>
      </c>
      <c r="H633" s="530"/>
      <c r="I633" s="530"/>
      <c r="J633" s="530"/>
      <c r="K633" s="530"/>
      <c r="L633" s="530"/>
      <c r="M633" s="530"/>
      <c r="N633" s="530"/>
      <c r="O633" s="530"/>
      <c r="P633" s="530"/>
      <c r="Q633" s="530"/>
      <c r="R633" s="530"/>
      <c r="S633" s="530"/>
      <c r="T633" s="530" t="s">
        <v>223</v>
      </c>
      <c r="U633" s="530" t="s">
        <v>58</v>
      </c>
    </row>
    <row r="634" spans="1:21" ht="13.8" x14ac:dyDescent="0.3">
      <c r="A634" s="530" t="str">
        <f t="shared" si="18"/>
        <v>North Wales.2011.Accommodation - Bed Spaces.All Accommodation Types</v>
      </c>
      <c r="B634" s="530" t="s">
        <v>220</v>
      </c>
      <c r="C634" s="530" t="str">
        <f t="shared" si="19"/>
        <v>2011.Accommodation - Bed Spaces.All Accommodation Types</v>
      </c>
      <c r="D634" s="530" t="s">
        <v>219</v>
      </c>
      <c r="E634" s="530" t="s">
        <v>164</v>
      </c>
      <c r="F634" s="530" t="s">
        <v>163</v>
      </c>
      <c r="G634" s="530" t="s">
        <v>223</v>
      </c>
      <c r="H634" s="530"/>
      <c r="I634" s="530"/>
      <c r="J634" s="530"/>
      <c r="K634" s="530"/>
      <c r="L634" s="530"/>
      <c r="M634" s="530"/>
      <c r="N634" s="530"/>
      <c r="O634" s="530"/>
      <c r="P634" s="530"/>
      <c r="Q634" s="530"/>
      <c r="R634" s="530"/>
      <c r="S634" s="530"/>
      <c r="T634" s="530" t="s">
        <v>223</v>
      </c>
      <c r="U634" s="530" t="s">
        <v>58</v>
      </c>
    </row>
    <row r="635" spans="1:21" ht="13.8" x14ac:dyDescent="0.3">
      <c r="A635" s="530" t="str">
        <f t="shared" si="18"/>
        <v>North Wales.2012.Accommodation - Establishments.Serviced Accommodation 1</v>
      </c>
      <c r="B635" s="530" t="s">
        <v>220</v>
      </c>
      <c r="C635" s="530" t="str">
        <f t="shared" si="19"/>
        <v>2012.Accommodation - Establishments.Serviced Accommodation 1</v>
      </c>
      <c r="D635" s="530" t="s">
        <v>229</v>
      </c>
      <c r="E635" s="530" t="s">
        <v>150</v>
      </c>
      <c r="F635" s="530" t="s">
        <v>151</v>
      </c>
      <c r="G635" s="530" t="s">
        <v>221</v>
      </c>
      <c r="H635" s="530"/>
      <c r="I635" s="530"/>
      <c r="J635" s="530"/>
      <c r="K635" s="530"/>
      <c r="L635" s="530"/>
      <c r="M635" s="530"/>
      <c r="N635" s="530"/>
      <c r="O635" s="530"/>
      <c r="P635" s="530"/>
      <c r="Q635" s="530"/>
      <c r="R635" s="530"/>
      <c r="S635" s="530"/>
      <c r="T635" s="530" t="s">
        <v>225</v>
      </c>
      <c r="U635" s="530" t="s">
        <v>149</v>
      </c>
    </row>
    <row r="636" spans="1:21" ht="13.8" x14ac:dyDescent="0.3">
      <c r="A636" s="530" t="str">
        <f t="shared" si="18"/>
        <v>North Wales.2012.Accommodation - Establishments.Serviced Accommodation 2</v>
      </c>
      <c r="B636" s="530" t="s">
        <v>220</v>
      </c>
      <c r="C636" s="530" t="str">
        <f t="shared" si="19"/>
        <v>2012.Accommodation - Establishments.Serviced Accommodation 2</v>
      </c>
      <c r="D636" s="530" t="s">
        <v>229</v>
      </c>
      <c r="E636" s="530" t="s">
        <v>150</v>
      </c>
      <c r="F636" s="530" t="s">
        <v>152</v>
      </c>
      <c r="G636" s="530" t="s">
        <v>222</v>
      </c>
      <c r="H636" s="530"/>
      <c r="I636" s="530"/>
      <c r="J636" s="530"/>
      <c r="K636" s="530"/>
      <c r="L636" s="530"/>
      <c r="M636" s="530"/>
      <c r="N636" s="530"/>
      <c r="O636" s="530"/>
      <c r="P636" s="530"/>
      <c r="Q636" s="530"/>
      <c r="R636" s="530"/>
      <c r="S636" s="530"/>
      <c r="T636" s="530" t="s">
        <v>226</v>
      </c>
      <c r="U636" s="530" t="s">
        <v>149</v>
      </c>
    </row>
    <row r="637" spans="1:21" ht="13.8" x14ac:dyDescent="0.3">
      <c r="A637" s="530" t="str">
        <f t="shared" si="18"/>
        <v>North Wales.2012.Accommodation - Establishments.Serviced Accommodation 3</v>
      </c>
      <c r="B637" s="530" t="s">
        <v>220</v>
      </c>
      <c r="C637" s="530" t="str">
        <f t="shared" si="19"/>
        <v>2012.Accommodation - Establishments.Serviced Accommodation 3</v>
      </c>
      <c r="D637" s="530" t="s">
        <v>229</v>
      </c>
      <c r="E637" s="530" t="s">
        <v>150</v>
      </c>
      <c r="F637" s="530" t="s">
        <v>153</v>
      </c>
      <c r="G637" s="530" t="s">
        <v>223</v>
      </c>
      <c r="H637" s="530"/>
      <c r="I637" s="530"/>
      <c r="J637" s="530"/>
      <c r="K637" s="530"/>
      <c r="L637" s="530"/>
      <c r="M637" s="530"/>
      <c r="N637" s="530"/>
      <c r="O637" s="530"/>
      <c r="P637" s="530"/>
      <c r="Q637" s="530"/>
      <c r="R637" s="530"/>
      <c r="S637" s="530"/>
      <c r="T637" s="530" t="s">
        <v>223</v>
      </c>
      <c r="U637" s="530" t="s">
        <v>149</v>
      </c>
    </row>
    <row r="638" spans="1:21" ht="13.8" x14ac:dyDescent="0.3">
      <c r="A638" s="530" t="str">
        <f t="shared" si="18"/>
        <v>North Wales.2012.Accommodation - Establishments.Serviced Accommodation 4</v>
      </c>
      <c r="B638" s="530" t="s">
        <v>220</v>
      </c>
      <c r="C638" s="530" t="str">
        <f t="shared" si="19"/>
        <v>2012.Accommodation - Establishments.Serviced Accommodation 4</v>
      </c>
      <c r="D638" s="530" t="s">
        <v>229</v>
      </c>
      <c r="E638" s="530" t="s">
        <v>150</v>
      </c>
      <c r="F638" s="530" t="s">
        <v>154</v>
      </c>
      <c r="G638" s="530" t="s">
        <v>223</v>
      </c>
      <c r="H638" s="530"/>
      <c r="I638" s="530"/>
      <c r="J638" s="530"/>
      <c r="K638" s="530"/>
      <c r="L638" s="530"/>
      <c r="M638" s="530"/>
      <c r="N638" s="530"/>
      <c r="O638" s="530"/>
      <c r="P638" s="530"/>
      <c r="Q638" s="530"/>
      <c r="R638" s="530"/>
      <c r="S638" s="530"/>
      <c r="T638" s="530" t="s">
        <v>223</v>
      </c>
      <c r="U638" s="530" t="s">
        <v>149</v>
      </c>
    </row>
    <row r="639" spans="1:21" ht="13.8" x14ac:dyDescent="0.3">
      <c r="A639" s="530" t="str">
        <f t="shared" si="18"/>
        <v>North Wales.2012.Accommodation - Establishments.Serviced Accommodation 5</v>
      </c>
      <c r="B639" s="530" t="s">
        <v>220</v>
      </c>
      <c r="C639" s="530" t="str">
        <f t="shared" si="19"/>
        <v>2012.Accommodation - Establishments.Serviced Accommodation 5</v>
      </c>
      <c r="D639" s="530" t="s">
        <v>229</v>
      </c>
      <c r="E639" s="530" t="s">
        <v>150</v>
      </c>
      <c r="F639" s="530" t="s">
        <v>155</v>
      </c>
      <c r="G639" s="530" t="s">
        <v>223</v>
      </c>
      <c r="H639" s="530"/>
      <c r="I639" s="530"/>
      <c r="J639" s="530"/>
      <c r="K639" s="530"/>
      <c r="L639" s="530"/>
      <c r="M639" s="530"/>
      <c r="N639" s="530"/>
      <c r="O639" s="530"/>
      <c r="P639" s="530"/>
      <c r="Q639" s="530"/>
      <c r="R639" s="530"/>
      <c r="S639" s="530"/>
      <c r="T639" s="530" t="s">
        <v>223</v>
      </c>
      <c r="U639" s="530" t="s">
        <v>149</v>
      </c>
    </row>
    <row r="640" spans="1:21" ht="15" customHeight="1" x14ac:dyDescent="0.3">
      <c r="A640" s="530" t="str">
        <f t="shared" si="18"/>
        <v>North Wales.2012.Accommodation - Establishments.Serviced Accommodation Total</v>
      </c>
      <c r="B640" s="530" t="s">
        <v>220</v>
      </c>
      <c r="C640" s="530" t="str">
        <f t="shared" si="19"/>
        <v>2012.Accommodation - Establishments.Serviced Accommodation Total</v>
      </c>
      <c r="D640" s="530" t="s">
        <v>229</v>
      </c>
      <c r="E640" s="530" t="s">
        <v>150</v>
      </c>
      <c r="F640" s="530" t="s">
        <v>161</v>
      </c>
      <c r="G640" s="530" t="s">
        <v>224</v>
      </c>
      <c r="H640" s="530"/>
      <c r="I640" s="530"/>
      <c r="J640" s="530"/>
      <c r="K640" s="530"/>
      <c r="L640" s="530"/>
      <c r="M640" s="530"/>
      <c r="N640" s="530"/>
      <c r="O640" s="530"/>
      <c r="P640" s="530"/>
      <c r="Q640" s="530"/>
      <c r="R640" s="530"/>
      <c r="S640" s="530"/>
      <c r="T640" s="530" t="s">
        <v>227</v>
      </c>
      <c r="U640" s="530" t="s">
        <v>149</v>
      </c>
    </row>
    <row r="641" spans="1:21" ht="15" customHeight="1" x14ac:dyDescent="0.3">
      <c r="A641" s="530" t="str">
        <f t="shared" si="18"/>
        <v>North Wales.2012.Accommodation - Establishments.Non-Serviced Accommodation 1</v>
      </c>
      <c r="B641" s="530" t="s">
        <v>220</v>
      </c>
      <c r="C641" s="530" t="str">
        <f t="shared" si="19"/>
        <v>2012.Accommodation - Establishments.Non-Serviced Accommodation 1</v>
      </c>
      <c r="D641" s="530" t="s">
        <v>229</v>
      </c>
      <c r="E641" s="530" t="s">
        <v>150</v>
      </c>
      <c r="F641" s="530" t="s">
        <v>156</v>
      </c>
      <c r="G641" s="530" t="s">
        <v>223</v>
      </c>
      <c r="H641" s="530"/>
      <c r="I641" s="530"/>
      <c r="J641" s="530"/>
      <c r="K641" s="530"/>
      <c r="L641" s="530"/>
      <c r="M641" s="530"/>
      <c r="N641" s="530"/>
      <c r="O641" s="530"/>
      <c r="P641" s="530"/>
      <c r="Q641" s="530"/>
      <c r="R641" s="530"/>
      <c r="S641" s="530"/>
      <c r="T641" s="530" t="s">
        <v>223</v>
      </c>
      <c r="U641" s="530" t="s">
        <v>149</v>
      </c>
    </row>
    <row r="642" spans="1:21" ht="15" customHeight="1" x14ac:dyDescent="0.3">
      <c r="A642" s="530" t="str">
        <f t="shared" si="18"/>
        <v>North Wales.2012.Accommodation - Establishments.Non-Serviced Accommodation 2</v>
      </c>
      <c r="B642" s="530" t="s">
        <v>220</v>
      </c>
      <c r="C642" s="530" t="str">
        <f t="shared" si="19"/>
        <v>2012.Accommodation - Establishments.Non-Serviced Accommodation 2</v>
      </c>
      <c r="D642" s="530" t="s">
        <v>229</v>
      </c>
      <c r="E642" s="530" t="s">
        <v>150</v>
      </c>
      <c r="F642" s="530" t="s">
        <v>157</v>
      </c>
      <c r="G642" s="530" t="s">
        <v>224</v>
      </c>
      <c r="H642" s="530"/>
      <c r="I642" s="530"/>
      <c r="J642" s="530"/>
      <c r="K642" s="530"/>
      <c r="L642" s="530"/>
      <c r="M642" s="530"/>
      <c r="N642" s="530"/>
      <c r="O642" s="530"/>
      <c r="P642" s="530"/>
      <c r="Q642" s="530"/>
      <c r="R642" s="530"/>
      <c r="S642" s="530"/>
      <c r="T642" s="530" t="s">
        <v>228</v>
      </c>
      <c r="U642" s="530" t="s">
        <v>149</v>
      </c>
    </row>
    <row r="643" spans="1:21" ht="15" customHeight="1" x14ac:dyDescent="0.3">
      <c r="A643" s="530" t="str">
        <f t="shared" si="18"/>
        <v>North Wales.2012.Accommodation - Establishments.Non-Serviced Accommodation 3</v>
      </c>
      <c r="B643" s="530" t="s">
        <v>220</v>
      </c>
      <c r="C643" s="530" t="str">
        <f t="shared" si="19"/>
        <v>2012.Accommodation - Establishments.Non-Serviced Accommodation 3</v>
      </c>
      <c r="D643" s="530" t="s">
        <v>229</v>
      </c>
      <c r="E643" s="530" t="s">
        <v>150</v>
      </c>
      <c r="F643" s="530" t="s">
        <v>158</v>
      </c>
      <c r="G643" s="530" t="s">
        <v>223</v>
      </c>
      <c r="H643" s="530"/>
      <c r="I643" s="530"/>
      <c r="J643" s="530"/>
      <c r="K643" s="530"/>
      <c r="L643" s="530"/>
      <c r="M643" s="530"/>
      <c r="N643" s="530"/>
      <c r="O643" s="530"/>
      <c r="P643" s="530"/>
      <c r="Q643" s="530"/>
      <c r="R643" s="530"/>
      <c r="S643" s="530"/>
      <c r="T643" s="530" t="s">
        <v>223</v>
      </c>
      <c r="U643" s="530" t="s">
        <v>149</v>
      </c>
    </row>
    <row r="644" spans="1:21" ht="15" customHeight="1" x14ac:dyDescent="0.3">
      <c r="A644" s="530" t="str">
        <f t="shared" si="18"/>
        <v>North Wales.2012.Accommodation - Establishments.Non-Serviced Accommodation 4</v>
      </c>
      <c r="B644" s="530" t="s">
        <v>220</v>
      </c>
      <c r="C644" s="530" t="str">
        <f t="shared" si="19"/>
        <v>2012.Accommodation - Establishments.Non-Serviced Accommodation 4</v>
      </c>
      <c r="D644" s="530" t="s">
        <v>229</v>
      </c>
      <c r="E644" s="530" t="s">
        <v>150</v>
      </c>
      <c r="F644" s="530" t="s">
        <v>159</v>
      </c>
      <c r="G644" s="530" t="s">
        <v>222</v>
      </c>
      <c r="H644" s="530"/>
      <c r="I644" s="530"/>
      <c r="J644" s="530"/>
      <c r="K644" s="530"/>
      <c r="L644" s="530"/>
      <c r="M644" s="530"/>
      <c r="N644" s="530"/>
      <c r="O644" s="530"/>
      <c r="P644" s="530"/>
      <c r="Q644" s="530"/>
      <c r="R644" s="530"/>
      <c r="S644" s="530"/>
      <c r="T644" s="530" t="s">
        <v>226</v>
      </c>
      <c r="U644" s="530" t="s">
        <v>149</v>
      </c>
    </row>
    <row r="645" spans="1:21" ht="15" customHeight="1" x14ac:dyDescent="0.3">
      <c r="A645" s="530" t="str">
        <f t="shared" si="18"/>
        <v>North Wales.2012.Accommodation - Establishments.Non-Serviced Accommodation 5</v>
      </c>
      <c r="B645" s="530" t="s">
        <v>220</v>
      </c>
      <c r="C645" s="530" t="str">
        <f t="shared" si="19"/>
        <v>2012.Accommodation - Establishments.Non-Serviced Accommodation 5</v>
      </c>
      <c r="D645" s="530" t="s">
        <v>229</v>
      </c>
      <c r="E645" s="530" t="s">
        <v>150</v>
      </c>
      <c r="F645" s="530" t="s">
        <v>160</v>
      </c>
      <c r="G645" s="530" t="s">
        <v>223</v>
      </c>
      <c r="H645" s="530"/>
      <c r="I645" s="530"/>
      <c r="J645" s="530"/>
      <c r="K645" s="530"/>
      <c r="L645" s="530"/>
      <c r="M645" s="530"/>
      <c r="N645" s="530"/>
      <c r="O645" s="530"/>
      <c r="P645" s="530"/>
      <c r="Q645" s="530"/>
      <c r="R645" s="530"/>
      <c r="S645" s="530"/>
      <c r="T645" s="530" t="s">
        <v>223</v>
      </c>
      <c r="U645" s="530" t="s">
        <v>149</v>
      </c>
    </row>
    <row r="646" spans="1:21" ht="15" customHeight="1" x14ac:dyDescent="0.3">
      <c r="A646" s="530" t="str">
        <f t="shared" si="18"/>
        <v>North Wales.2012.Accommodation - Establishments.Non-Serviced Accommodation Total</v>
      </c>
      <c r="B646" s="530" t="s">
        <v>220</v>
      </c>
      <c r="C646" s="530" t="str">
        <f t="shared" si="19"/>
        <v>2012.Accommodation - Establishments.Non-Serviced Accommodation Total</v>
      </c>
      <c r="D646" s="530" t="s">
        <v>229</v>
      </c>
      <c r="E646" s="530" t="s">
        <v>150</v>
      </c>
      <c r="F646" s="530" t="s">
        <v>162</v>
      </c>
      <c r="G646" s="530" t="s">
        <v>223</v>
      </c>
      <c r="H646" s="530"/>
      <c r="I646" s="530"/>
      <c r="J646" s="530"/>
      <c r="K646" s="530"/>
      <c r="L646" s="530"/>
      <c r="M646" s="530"/>
      <c r="N646" s="530"/>
      <c r="O646" s="530"/>
      <c r="P646" s="530"/>
      <c r="Q646" s="530"/>
      <c r="R646" s="530"/>
      <c r="S646" s="530"/>
      <c r="T646" s="530" t="s">
        <v>223</v>
      </c>
      <c r="U646" s="530" t="s">
        <v>149</v>
      </c>
    </row>
    <row r="647" spans="1:21" ht="15" customHeight="1" x14ac:dyDescent="0.3">
      <c r="A647" s="530" t="str">
        <f t="shared" si="18"/>
        <v>North Wales.2012.Accommodation - Establishments.All Accommodation Types</v>
      </c>
      <c r="B647" s="530" t="s">
        <v>220</v>
      </c>
      <c r="C647" s="530" t="str">
        <f t="shared" si="19"/>
        <v>2012.Accommodation - Establishments.All Accommodation Types</v>
      </c>
      <c r="D647" s="530" t="s">
        <v>229</v>
      </c>
      <c r="E647" s="530" t="s">
        <v>150</v>
      </c>
      <c r="F647" s="530" t="s">
        <v>163</v>
      </c>
      <c r="G647" s="530" t="s">
        <v>223</v>
      </c>
      <c r="H647" s="530"/>
      <c r="I647" s="530"/>
      <c r="J647" s="530"/>
      <c r="K647" s="530"/>
      <c r="L647" s="530"/>
      <c r="M647" s="530"/>
      <c r="N647" s="530"/>
      <c r="O647" s="530"/>
      <c r="P647" s="530"/>
      <c r="Q647" s="530"/>
      <c r="R647" s="530"/>
      <c r="S647" s="530"/>
      <c r="T647" s="530" t="s">
        <v>223</v>
      </c>
      <c r="U647" s="530" t="s">
        <v>149</v>
      </c>
    </row>
    <row r="648" spans="1:21" ht="13.8" x14ac:dyDescent="0.3">
      <c r="A648" s="530" t="str">
        <f t="shared" si="18"/>
        <v>North Wales.2012.Accommodation - Bed Spaces.Serviced Accommodation 1</v>
      </c>
      <c r="B648" s="530" t="s">
        <v>220</v>
      </c>
      <c r="C648" s="530" t="str">
        <f t="shared" si="19"/>
        <v>2012.Accommodation - Bed Spaces.Serviced Accommodation 1</v>
      </c>
      <c r="D648" s="530" t="s">
        <v>229</v>
      </c>
      <c r="E648" s="530" t="s">
        <v>164</v>
      </c>
      <c r="F648" s="530" t="s">
        <v>151</v>
      </c>
      <c r="G648" s="530" t="s">
        <v>221</v>
      </c>
      <c r="H648" s="530"/>
      <c r="I648" s="530"/>
      <c r="J648" s="530"/>
      <c r="K648" s="530"/>
      <c r="L648" s="530"/>
      <c r="M648" s="530"/>
      <c r="N648" s="530"/>
      <c r="O648" s="530"/>
      <c r="P648" s="530"/>
      <c r="Q648" s="530"/>
      <c r="R648" s="530"/>
      <c r="S648" s="530"/>
      <c r="T648" s="530">
        <v>0</v>
      </c>
      <c r="U648" s="530" t="s">
        <v>58</v>
      </c>
    </row>
    <row r="649" spans="1:21" ht="13.8" x14ac:dyDescent="0.3">
      <c r="A649" s="530" t="str">
        <f t="shared" si="18"/>
        <v>North Wales.2012.Accommodation - Bed Spaces.Serviced Accommodation 2</v>
      </c>
      <c r="B649" s="530" t="s">
        <v>220</v>
      </c>
      <c r="C649" s="530" t="str">
        <f t="shared" si="19"/>
        <v>2012.Accommodation - Bed Spaces.Serviced Accommodation 2</v>
      </c>
      <c r="D649" s="530" t="s">
        <v>229</v>
      </c>
      <c r="E649" s="530" t="s">
        <v>164</v>
      </c>
      <c r="F649" s="530" t="s">
        <v>152</v>
      </c>
      <c r="G649" s="530" t="s">
        <v>222</v>
      </c>
      <c r="H649" s="530"/>
      <c r="I649" s="530"/>
      <c r="J649" s="530"/>
      <c r="K649" s="530"/>
      <c r="L649" s="530"/>
      <c r="M649" s="530"/>
      <c r="N649" s="530"/>
      <c r="O649" s="530"/>
      <c r="P649" s="530"/>
      <c r="Q649" s="530"/>
      <c r="R649" s="530"/>
      <c r="S649" s="530"/>
      <c r="T649" s="530">
        <v>0</v>
      </c>
      <c r="U649" s="530" t="s">
        <v>58</v>
      </c>
    </row>
    <row r="650" spans="1:21" ht="13.8" x14ac:dyDescent="0.3">
      <c r="A650" s="530" t="str">
        <f t="shared" si="18"/>
        <v>North Wales.2012.Accommodation - Bed Spaces.Serviced Accommodation 3</v>
      </c>
      <c r="B650" s="530" t="s">
        <v>220</v>
      </c>
      <c r="C650" s="530" t="str">
        <f t="shared" si="19"/>
        <v>2012.Accommodation - Bed Spaces.Serviced Accommodation 3</v>
      </c>
      <c r="D650" s="530" t="s">
        <v>229</v>
      </c>
      <c r="E650" s="530" t="s">
        <v>164</v>
      </c>
      <c r="F650" s="530" t="s">
        <v>153</v>
      </c>
      <c r="G650" s="530" t="s">
        <v>223</v>
      </c>
      <c r="H650" s="530"/>
      <c r="I650" s="530"/>
      <c r="J650" s="530"/>
      <c r="K650" s="530"/>
      <c r="L650" s="530"/>
      <c r="M650" s="530"/>
      <c r="N650" s="530"/>
      <c r="O650" s="530"/>
      <c r="P650" s="530"/>
      <c r="Q650" s="530"/>
      <c r="R650" s="530"/>
      <c r="S650" s="530"/>
      <c r="T650" s="530" t="s">
        <v>223</v>
      </c>
      <c r="U650" s="530" t="s">
        <v>58</v>
      </c>
    </row>
    <row r="651" spans="1:21" ht="13.8" x14ac:dyDescent="0.3">
      <c r="A651" s="530" t="str">
        <f t="shared" si="18"/>
        <v>North Wales.2012.Accommodation - Bed Spaces.Serviced Accommodation 4</v>
      </c>
      <c r="B651" s="530" t="s">
        <v>220</v>
      </c>
      <c r="C651" s="530" t="str">
        <f t="shared" si="19"/>
        <v>2012.Accommodation - Bed Spaces.Serviced Accommodation 4</v>
      </c>
      <c r="D651" s="530" t="s">
        <v>229</v>
      </c>
      <c r="E651" s="530" t="s">
        <v>164</v>
      </c>
      <c r="F651" s="530" t="s">
        <v>154</v>
      </c>
      <c r="G651" s="530" t="s">
        <v>223</v>
      </c>
      <c r="H651" s="530"/>
      <c r="I651" s="530"/>
      <c r="J651" s="530"/>
      <c r="K651" s="530"/>
      <c r="L651" s="530"/>
      <c r="M651" s="530"/>
      <c r="N651" s="530"/>
      <c r="O651" s="530"/>
      <c r="P651" s="530"/>
      <c r="Q651" s="530"/>
      <c r="R651" s="530"/>
      <c r="S651" s="530"/>
      <c r="T651" s="530" t="s">
        <v>223</v>
      </c>
      <c r="U651" s="530" t="s">
        <v>58</v>
      </c>
    </row>
    <row r="652" spans="1:21" ht="13.8" x14ac:dyDescent="0.3">
      <c r="A652" s="530" t="str">
        <f t="shared" si="18"/>
        <v>North Wales.2012.Accommodation - Bed Spaces.Serviced Accommodation 5</v>
      </c>
      <c r="B652" s="530" t="s">
        <v>220</v>
      </c>
      <c r="C652" s="530" t="str">
        <f t="shared" si="19"/>
        <v>2012.Accommodation - Bed Spaces.Serviced Accommodation 5</v>
      </c>
      <c r="D652" s="530" t="s">
        <v>229</v>
      </c>
      <c r="E652" s="530" t="s">
        <v>164</v>
      </c>
      <c r="F652" s="530" t="s">
        <v>155</v>
      </c>
      <c r="G652" s="530" t="s">
        <v>223</v>
      </c>
      <c r="H652" s="530"/>
      <c r="I652" s="530"/>
      <c r="J652" s="530"/>
      <c r="K652" s="530"/>
      <c r="L652" s="530"/>
      <c r="M652" s="530"/>
      <c r="N652" s="530"/>
      <c r="O652" s="530"/>
      <c r="P652" s="530"/>
      <c r="Q652" s="530"/>
      <c r="R652" s="530"/>
      <c r="S652" s="530"/>
      <c r="T652" s="530" t="s">
        <v>223</v>
      </c>
      <c r="U652" s="530" t="s">
        <v>58</v>
      </c>
    </row>
    <row r="653" spans="1:21" ht="13.8" x14ac:dyDescent="0.3">
      <c r="A653" s="530" t="str">
        <f t="shared" si="18"/>
        <v>North Wales.2012.Accommodation - Bed Spaces.Serviced Accommodation Total</v>
      </c>
      <c r="B653" s="530" t="s">
        <v>220</v>
      </c>
      <c r="C653" s="530" t="str">
        <f t="shared" si="19"/>
        <v>2012.Accommodation - Bed Spaces.Serviced Accommodation Total</v>
      </c>
      <c r="D653" s="530" t="s">
        <v>229</v>
      </c>
      <c r="E653" s="530" t="s">
        <v>164</v>
      </c>
      <c r="F653" s="530" t="s">
        <v>161</v>
      </c>
      <c r="G653" s="530" t="s">
        <v>224</v>
      </c>
      <c r="H653" s="530"/>
      <c r="I653" s="530"/>
      <c r="J653" s="530"/>
      <c r="K653" s="530"/>
      <c r="L653" s="530"/>
      <c r="M653" s="530"/>
      <c r="N653" s="530"/>
      <c r="O653" s="530"/>
      <c r="P653" s="530"/>
      <c r="Q653" s="530"/>
      <c r="R653" s="530"/>
      <c r="S653" s="530"/>
      <c r="T653" s="530">
        <v>0</v>
      </c>
      <c r="U653" s="530" t="s">
        <v>58</v>
      </c>
    </row>
    <row r="654" spans="1:21" ht="13.8" x14ac:dyDescent="0.3">
      <c r="A654" s="530" t="str">
        <f t="shared" si="18"/>
        <v>North Wales.2012.Accommodation - Bed Spaces.Non-Serviced Accommodation 1</v>
      </c>
      <c r="B654" s="530" t="s">
        <v>220</v>
      </c>
      <c r="C654" s="530" t="str">
        <f t="shared" si="19"/>
        <v>2012.Accommodation - Bed Spaces.Non-Serviced Accommodation 1</v>
      </c>
      <c r="D654" s="530" t="s">
        <v>229</v>
      </c>
      <c r="E654" s="530" t="s">
        <v>164</v>
      </c>
      <c r="F654" s="530" t="s">
        <v>156</v>
      </c>
      <c r="G654" s="530" t="s">
        <v>223</v>
      </c>
      <c r="H654" s="530"/>
      <c r="I654" s="530"/>
      <c r="J654" s="530"/>
      <c r="K654" s="530"/>
      <c r="L654" s="530"/>
      <c r="M654" s="530"/>
      <c r="N654" s="530"/>
      <c r="O654" s="530"/>
      <c r="P654" s="530"/>
      <c r="Q654" s="530"/>
      <c r="R654" s="530"/>
      <c r="S654" s="530"/>
      <c r="T654" s="530" t="s">
        <v>223</v>
      </c>
      <c r="U654" s="530" t="s">
        <v>58</v>
      </c>
    </row>
    <row r="655" spans="1:21" ht="13.8" x14ac:dyDescent="0.3">
      <c r="A655" s="530" t="str">
        <f t="shared" si="18"/>
        <v>North Wales.2012.Accommodation - Bed Spaces.Non-Serviced Accommodation 2</v>
      </c>
      <c r="B655" s="530" t="s">
        <v>220</v>
      </c>
      <c r="C655" s="530" t="str">
        <f t="shared" si="19"/>
        <v>2012.Accommodation - Bed Spaces.Non-Serviced Accommodation 2</v>
      </c>
      <c r="D655" s="530" t="s">
        <v>229</v>
      </c>
      <c r="E655" s="530" t="s">
        <v>164</v>
      </c>
      <c r="F655" s="530" t="s">
        <v>157</v>
      </c>
      <c r="G655" s="530" t="s">
        <v>224</v>
      </c>
      <c r="H655" s="530"/>
      <c r="I655" s="530"/>
      <c r="J655" s="530"/>
      <c r="K655" s="530"/>
      <c r="L655" s="530"/>
      <c r="M655" s="530"/>
      <c r="N655" s="530"/>
      <c r="O655" s="530"/>
      <c r="P655" s="530"/>
      <c r="Q655" s="530"/>
      <c r="R655" s="530"/>
      <c r="S655" s="530"/>
      <c r="T655" s="530">
        <v>0</v>
      </c>
      <c r="U655" s="530" t="s">
        <v>58</v>
      </c>
    </row>
    <row r="656" spans="1:21" ht="13.8" x14ac:dyDescent="0.3">
      <c r="A656" s="530" t="str">
        <f t="shared" si="18"/>
        <v>North Wales.2012.Accommodation - Bed Spaces.Non-Serviced Accommodation 3</v>
      </c>
      <c r="B656" s="530" t="s">
        <v>220</v>
      </c>
      <c r="C656" s="530" t="str">
        <f t="shared" si="19"/>
        <v>2012.Accommodation - Bed Spaces.Non-Serviced Accommodation 3</v>
      </c>
      <c r="D656" s="530" t="s">
        <v>229</v>
      </c>
      <c r="E656" s="530" t="s">
        <v>164</v>
      </c>
      <c r="F656" s="530" t="s">
        <v>158</v>
      </c>
      <c r="G656" s="530" t="s">
        <v>223</v>
      </c>
      <c r="H656" s="530"/>
      <c r="I656" s="530"/>
      <c r="J656" s="530"/>
      <c r="K656" s="530"/>
      <c r="L656" s="530"/>
      <c r="M656" s="530"/>
      <c r="N656" s="530"/>
      <c r="O656" s="530"/>
      <c r="P656" s="530"/>
      <c r="Q656" s="530"/>
      <c r="R656" s="530"/>
      <c r="S656" s="530"/>
      <c r="T656" s="530" t="s">
        <v>223</v>
      </c>
      <c r="U656" s="530" t="s">
        <v>58</v>
      </c>
    </row>
    <row r="657" spans="1:21" ht="13.8" x14ac:dyDescent="0.3">
      <c r="A657" s="530" t="str">
        <f t="shared" si="18"/>
        <v>North Wales.2012.Accommodation - Bed Spaces.Non-Serviced Accommodation 4</v>
      </c>
      <c r="B657" s="530" t="s">
        <v>220</v>
      </c>
      <c r="C657" s="530" t="str">
        <f t="shared" si="19"/>
        <v>2012.Accommodation - Bed Spaces.Non-Serviced Accommodation 4</v>
      </c>
      <c r="D657" s="530" t="s">
        <v>229</v>
      </c>
      <c r="E657" s="530" t="s">
        <v>164</v>
      </c>
      <c r="F657" s="530" t="s">
        <v>159</v>
      </c>
      <c r="G657" s="530" t="s">
        <v>222</v>
      </c>
      <c r="H657" s="530"/>
      <c r="I657" s="530"/>
      <c r="J657" s="530"/>
      <c r="K657" s="530"/>
      <c r="L657" s="530"/>
      <c r="M657" s="530"/>
      <c r="N657" s="530"/>
      <c r="O657" s="530"/>
      <c r="P657" s="530"/>
      <c r="Q657" s="530"/>
      <c r="R657" s="530"/>
      <c r="S657" s="530"/>
      <c r="T657" s="530">
        <v>0</v>
      </c>
      <c r="U657" s="530" t="s">
        <v>58</v>
      </c>
    </row>
    <row r="658" spans="1:21" ht="13.8" x14ac:dyDescent="0.3">
      <c r="A658" s="530" t="str">
        <f t="shared" si="18"/>
        <v>North Wales.2012.Accommodation - Bed Spaces.Non-Serviced Accommodation 5</v>
      </c>
      <c r="B658" s="530" t="s">
        <v>220</v>
      </c>
      <c r="C658" s="530" t="str">
        <f t="shared" si="19"/>
        <v>2012.Accommodation - Bed Spaces.Non-Serviced Accommodation 5</v>
      </c>
      <c r="D658" s="530" t="s">
        <v>229</v>
      </c>
      <c r="E658" s="530" t="s">
        <v>164</v>
      </c>
      <c r="F658" s="530" t="s">
        <v>160</v>
      </c>
      <c r="G658" s="530" t="s">
        <v>223</v>
      </c>
      <c r="H658" s="530"/>
      <c r="I658" s="530"/>
      <c r="J658" s="530"/>
      <c r="K658" s="530"/>
      <c r="L658" s="530"/>
      <c r="M658" s="530"/>
      <c r="N658" s="530"/>
      <c r="O658" s="530"/>
      <c r="P658" s="530"/>
      <c r="Q658" s="530"/>
      <c r="R658" s="530"/>
      <c r="S658" s="530"/>
      <c r="T658" s="530" t="s">
        <v>223</v>
      </c>
      <c r="U658" s="530" t="s">
        <v>58</v>
      </c>
    </row>
    <row r="659" spans="1:21" ht="13.8" x14ac:dyDescent="0.3">
      <c r="A659" s="530" t="str">
        <f t="shared" si="18"/>
        <v>North Wales.2012.Accommodation - Bed Spaces.Non-Serviced Accommodation Total</v>
      </c>
      <c r="B659" s="530" t="s">
        <v>220</v>
      </c>
      <c r="C659" s="530" t="str">
        <f t="shared" si="19"/>
        <v>2012.Accommodation - Bed Spaces.Non-Serviced Accommodation Total</v>
      </c>
      <c r="D659" s="530" t="s">
        <v>229</v>
      </c>
      <c r="E659" s="530" t="s">
        <v>164</v>
      </c>
      <c r="F659" s="530" t="s">
        <v>162</v>
      </c>
      <c r="G659" s="530" t="s">
        <v>223</v>
      </c>
      <c r="H659" s="530"/>
      <c r="I659" s="530"/>
      <c r="J659" s="530"/>
      <c r="K659" s="530"/>
      <c r="L659" s="530"/>
      <c r="M659" s="530"/>
      <c r="N659" s="530"/>
      <c r="O659" s="530"/>
      <c r="P659" s="530"/>
      <c r="Q659" s="530"/>
      <c r="R659" s="530"/>
      <c r="S659" s="530"/>
      <c r="T659" s="530" t="s">
        <v>223</v>
      </c>
      <c r="U659" s="530" t="s">
        <v>58</v>
      </c>
    </row>
    <row r="660" spans="1:21" ht="13.8" x14ac:dyDescent="0.3">
      <c r="A660" s="530" t="str">
        <f t="shared" si="18"/>
        <v>North Wales.2012.Accommodation - Bed Spaces.All Accommodation Types</v>
      </c>
      <c r="B660" s="530" t="s">
        <v>220</v>
      </c>
      <c r="C660" s="530" t="str">
        <f t="shared" si="19"/>
        <v>2012.Accommodation - Bed Spaces.All Accommodation Types</v>
      </c>
      <c r="D660" s="530" t="s">
        <v>229</v>
      </c>
      <c r="E660" s="530" t="s">
        <v>164</v>
      </c>
      <c r="F660" s="530" t="s">
        <v>163</v>
      </c>
      <c r="G660" s="530" t="s">
        <v>223</v>
      </c>
      <c r="H660" s="530"/>
      <c r="I660" s="530"/>
      <c r="J660" s="530"/>
      <c r="K660" s="530"/>
      <c r="L660" s="530"/>
      <c r="M660" s="530"/>
      <c r="N660" s="530"/>
      <c r="O660" s="530"/>
      <c r="P660" s="530"/>
      <c r="Q660" s="530"/>
      <c r="R660" s="530"/>
      <c r="S660" s="530"/>
      <c r="T660" s="530" t="s">
        <v>223</v>
      </c>
      <c r="U660" s="530" t="s">
        <v>58</v>
      </c>
    </row>
    <row r="661" spans="1:21" ht="13.8" x14ac:dyDescent="0.3">
      <c r="A661" s="530" t="str">
        <f t="shared" si="18"/>
        <v>North Wales.2013.Accommodation - Establishments.Serviced Accommodation 1</v>
      </c>
      <c r="B661" s="530" t="s">
        <v>220</v>
      </c>
      <c r="C661" s="530" t="str">
        <f t="shared" si="19"/>
        <v>2013.Accommodation - Establishments.Serviced Accommodation 1</v>
      </c>
      <c r="D661" s="530" t="s">
        <v>230</v>
      </c>
      <c r="E661" s="530" t="s">
        <v>150</v>
      </c>
      <c r="F661" s="530" t="s">
        <v>151</v>
      </c>
      <c r="G661" s="530" t="s">
        <v>221</v>
      </c>
      <c r="H661" s="530"/>
      <c r="I661" s="530"/>
      <c r="J661" s="530"/>
      <c r="K661" s="530"/>
      <c r="L661" s="530"/>
      <c r="M661" s="530"/>
      <c r="N661" s="530"/>
      <c r="O661" s="530"/>
      <c r="P661" s="530"/>
      <c r="Q661" s="530"/>
      <c r="R661" s="530"/>
      <c r="S661" s="530"/>
      <c r="T661" s="530" t="s">
        <v>225</v>
      </c>
      <c r="U661" s="530" t="s">
        <v>149</v>
      </c>
    </row>
    <row r="662" spans="1:21" ht="13.8" x14ac:dyDescent="0.3">
      <c r="A662" s="530" t="str">
        <f t="shared" si="18"/>
        <v>North Wales.2013.Accommodation - Establishments.Serviced Accommodation 2</v>
      </c>
      <c r="B662" s="530" t="s">
        <v>220</v>
      </c>
      <c r="C662" s="530" t="str">
        <f t="shared" si="19"/>
        <v>2013.Accommodation - Establishments.Serviced Accommodation 2</v>
      </c>
      <c r="D662" s="530" t="s">
        <v>230</v>
      </c>
      <c r="E662" s="530" t="s">
        <v>150</v>
      </c>
      <c r="F662" s="530" t="s">
        <v>152</v>
      </c>
      <c r="G662" s="530" t="s">
        <v>222</v>
      </c>
      <c r="H662" s="530"/>
      <c r="I662" s="530"/>
      <c r="J662" s="530"/>
      <c r="K662" s="530"/>
      <c r="L662" s="530"/>
      <c r="M662" s="530"/>
      <c r="N662" s="530"/>
      <c r="O662" s="530"/>
      <c r="P662" s="530"/>
      <c r="Q662" s="530"/>
      <c r="R662" s="530"/>
      <c r="S662" s="530"/>
      <c r="T662" s="530" t="s">
        <v>226</v>
      </c>
      <c r="U662" s="530" t="s">
        <v>149</v>
      </c>
    </row>
    <row r="663" spans="1:21" ht="13.8" x14ac:dyDescent="0.3">
      <c r="A663" s="530" t="str">
        <f t="shared" si="18"/>
        <v>North Wales.2013.Accommodation - Establishments.Serviced Accommodation 3</v>
      </c>
      <c r="B663" s="530" t="s">
        <v>220</v>
      </c>
      <c r="C663" s="530" t="str">
        <f t="shared" si="19"/>
        <v>2013.Accommodation - Establishments.Serviced Accommodation 3</v>
      </c>
      <c r="D663" s="530" t="s">
        <v>230</v>
      </c>
      <c r="E663" s="530" t="s">
        <v>150</v>
      </c>
      <c r="F663" s="530" t="s">
        <v>153</v>
      </c>
      <c r="G663" s="530" t="s">
        <v>223</v>
      </c>
      <c r="H663" s="530"/>
      <c r="I663" s="530"/>
      <c r="J663" s="530"/>
      <c r="K663" s="530"/>
      <c r="L663" s="530"/>
      <c r="M663" s="530"/>
      <c r="N663" s="530"/>
      <c r="O663" s="530"/>
      <c r="P663" s="530"/>
      <c r="Q663" s="530"/>
      <c r="R663" s="530"/>
      <c r="S663" s="530"/>
      <c r="T663" s="530" t="s">
        <v>223</v>
      </c>
      <c r="U663" s="530" t="s">
        <v>149</v>
      </c>
    </row>
    <row r="664" spans="1:21" ht="13.8" x14ac:dyDescent="0.3">
      <c r="A664" s="530" t="str">
        <f t="shared" si="18"/>
        <v>North Wales.2013.Accommodation - Establishments.Serviced Accommodation 4</v>
      </c>
      <c r="B664" s="530" t="s">
        <v>220</v>
      </c>
      <c r="C664" s="530" t="str">
        <f t="shared" si="19"/>
        <v>2013.Accommodation - Establishments.Serviced Accommodation 4</v>
      </c>
      <c r="D664" s="530" t="s">
        <v>230</v>
      </c>
      <c r="E664" s="530" t="s">
        <v>150</v>
      </c>
      <c r="F664" s="530" t="s">
        <v>154</v>
      </c>
      <c r="G664" s="530" t="s">
        <v>223</v>
      </c>
      <c r="H664" s="530"/>
      <c r="I664" s="530"/>
      <c r="J664" s="530"/>
      <c r="K664" s="530"/>
      <c r="L664" s="530"/>
      <c r="M664" s="530"/>
      <c r="N664" s="530"/>
      <c r="O664" s="530"/>
      <c r="P664" s="530"/>
      <c r="Q664" s="530"/>
      <c r="R664" s="530"/>
      <c r="S664" s="530"/>
      <c r="T664" s="530" t="s">
        <v>223</v>
      </c>
      <c r="U664" s="530" t="s">
        <v>149</v>
      </c>
    </row>
    <row r="665" spans="1:21" ht="13.8" x14ac:dyDescent="0.3">
      <c r="A665" s="530" t="str">
        <f t="shared" si="18"/>
        <v>North Wales.2013.Accommodation - Establishments.Serviced Accommodation 5</v>
      </c>
      <c r="B665" s="530" t="s">
        <v>220</v>
      </c>
      <c r="C665" s="530" t="str">
        <f t="shared" si="19"/>
        <v>2013.Accommodation - Establishments.Serviced Accommodation 5</v>
      </c>
      <c r="D665" s="530" t="s">
        <v>230</v>
      </c>
      <c r="E665" s="530" t="s">
        <v>150</v>
      </c>
      <c r="F665" s="530" t="s">
        <v>155</v>
      </c>
      <c r="G665" s="530" t="s">
        <v>223</v>
      </c>
      <c r="H665" s="530"/>
      <c r="I665" s="530"/>
      <c r="J665" s="530"/>
      <c r="K665" s="530"/>
      <c r="L665" s="530"/>
      <c r="M665" s="530"/>
      <c r="N665" s="530"/>
      <c r="O665" s="530"/>
      <c r="P665" s="530"/>
      <c r="Q665" s="530"/>
      <c r="R665" s="530"/>
      <c r="S665" s="530"/>
      <c r="T665" s="530" t="s">
        <v>223</v>
      </c>
      <c r="U665" s="530" t="s">
        <v>149</v>
      </c>
    </row>
    <row r="666" spans="1:21" ht="15" customHeight="1" x14ac:dyDescent="0.3">
      <c r="A666" s="530" t="str">
        <f t="shared" si="18"/>
        <v>North Wales.2013.Accommodation - Establishments.Serviced Accommodation Total</v>
      </c>
      <c r="B666" s="530" t="s">
        <v>220</v>
      </c>
      <c r="C666" s="530" t="str">
        <f t="shared" si="19"/>
        <v>2013.Accommodation - Establishments.Serviced Accommodation Total</v>
      </c>
      <c r="D666" s="530" t="s">
        <v>230</v>
      </c>
      <c r="E666" s="530" t="s">
        <v>150</v>
      </c>
      <c r="F666" s="530" t="s">
        <v>161</v>
      </c>
      <c r="G666" s="530" t="s">
        <v>224</v>
      </c>
      <c r="H666" s="530"/>
      <c r="I666" s="530"/>
      <c r="J666" s="530"/>
      <c r="K666" s="530"/>
      <c r="L666" s="530"/>
      <c r="M666" s="530"/>
      <c r="N666" s="530"/>
      <c r="O666" s="530"/>
      <c r="P666" s="530"/>
      <c r="Q666" s="530"/>
      <c r="R666" s="530"/>
      <c r="S666" s="530"/>
      <c r="T666" s="530" t="s">
        <v>227</v>
      </c>
      <c r="U666" s="530" t="s">
        <v>149</v>
      </c>
    </row>
    <row r="667" spans="1:21" ht="15" customHeight="1" x14ac:dyDescent="0.3">
      <c r="A667" s="530" t="str">
        <f t="shared" si="18"/>
        <v>North Wales.2013.Accommodation - Establishments.Non-Serviced Accommodation 1</v>
      </c>
      <c r="B667" s="530" t="s">
        <v>220</v>
      </c>
      <c r="C667" s="530" t="str">
        <f t="shared" si="19"/>
        <v>2013.Accommodation - Establishments.Non-Serviced Accommodation 1</v>
      </c>
      <c r="D667" s="530" t="s">
        <v>230</v>
      </c>
      <c r="E667" s="530" t="s">
        <v>150</v>
      </c>
      <c r="F667" s="530" t="s">
        <v>156</v>
      </c>
      <c r="G667" s="530" t="s">
        <v>223</v>
      </c>
      <c r="H667" s="530"/>
      <c r="I667" s="530"/>
      <c r="J667" s="530"/>
      <c r="K667" s="530"/>
      <c r="L667" s="530"/>
      <c r="M667" s="530"/>
      <c r="N667" s="530"/>
      <c r="O667" s="530"/>
      <c r="P667" s="530"/>
      <c r="Q667" s="530"/>
      <c r="R667" s="530"/>
      <c r="S667" s="530"/>
      <c r="T667" s="530" t="s">
        <v>223</v>
      </c>
      <c r="U667" s="530" t="s">
        <v>149</v>
      </c>
    </row>
    <row r="668" spans="1:21" ht="15" customHeight="1" x14ac:dyDescent="0.3">
      <c r="A668" s="530" t="str">
        <f t="shared" si="18"/>
        <v>North Wales.2013.Accommodation - Establishments.Non-Serviced Accommodation 2</v>
      </c>
      <c r="B668" s="530" t="s">
        <v>220</v>
      </c>
      <c r="C668" s="530" t="str">
        <f t="shared" si="19"/>
        <v>2013.Accommodation - Establishments.Non-Serviced Accommodation 2</v>
      </c>
      <c r="D668" s="530" t="s">
        <v>230</v>
      </c>
      <c r="E668" s="530" t="s">
        <v>150</v>
      </c>
      <c r="F668" s="530" t="s">
        <v>157</v>
      </c>
      <c r="G668" s="530" t="s">
        <v>224</v>
      </c>
      <c r="H668" s="530"/>
      <c r="I668" s="530"/>
      <c r="J668" s="530"/>
      <c r="K668" s="530"/>
      <c r="L668" s="530"/>
      <c r="M668" s="530"/>
      <c r="N668" s="530"/>
      <c r="O668" s="530"/>
      <c r="P668" s="530"/>
      <c r="Q668" s="530"/>
      <c r="R668" s="530"/>
      <c r="S668" s="530"/>
      <c r="T668" s="530" t="s">
        <v>228</v>
      </c>
      <c r="U668" s="530" t="s">
        <v>149</v>
      </c>
    </row>
    <row r="669" spans="1:21" ht="15" customHeight="1" x14ac:dyDescent="0.3">
      <c r="A669" s="530" t="str">
        <f t="shared" si="18"/>
        <v>North Wales.2013.Accommodation - Establishments.Non-Serviced Accommodation 3</v>
      </c>
      <c r="B669" s="530" t="s">
        <v>220</v>
      </c>
      <c r="C669" s="530" t="str">
        <f t="shared" si="19"/>
        <v>2013.Accommodation - Establishments.Non-Serviced Accommodation 3</v>
      </c>
      <c r="D669" s="530" t="s">
        <v>230</v>
      </c>
      <c r="E669" s="530" t="s">
        <v>150</v>
      </c>
      <c r="F669" s="530" t="s">
        <v>158</v>
      </c>
      <c r="G669" s="530" t="s">
        <v>223</v>
      </c>
      <c r="H669" s="530"/>
      <c r="I669" s="530"/>
      <c r="J669" s="530"/>
      <c r="K669" s="530"/>
      <c r="L669" s="530"/>
      <c r="M669" s="530"/>
      <c r="N669" s="530"/>
      <c r="O669" s="530"/>
      <c r="P669" s="530"/>
      <c r="Q669" s="530"/>
      <c r="R669" s="530"/>
      <c r="S669" s="530"/>
      <c r="T669" s="530" t="s">
        <v>223</v>
      </c>
      <c r="U669" s="530" t="s">
        <v>149</v>
      </c>
    </row>
    <row r="670" spans="1:21" ht="15" customHeight="1" x14ac:dyDescent="0.3">
      <c r="A670" s="530" t="str">
        <f t="shared" si="18"/>
        <v>North Wales.2013.Accommodation - Establishments.Non-Serviced Accommodation 4</v>
      </c>
      <c r="B670" s="530" t="s">
        <v>220</v>
      </c>
      <c r="C670" s="530" t="str">
        <f t="shared" si="19"/>
        <v>2013.Accommodation - Establishments.Non-Serviced Accommodation 4</v>
      </c>
      <c r="D670" s="530" t="s">
        <v>230</v>
      </c>
      <c r="E670" s="530" t="s">
        <v>150</v>
      </c>
      <c r="F670" s="530" t="s">
        <v>159</v>
      </c>
      <c r="G670" s="530" t="s">
        <v>222</v>
      </c>
      <c r="H670" s="530"/>
      <c r="I670" s="530"/>
      <c r="J670" s="530"/>
      <c r="K670" s="530"/>
      <c r="L670" s="530"/>
      <c r="M670" s="530"/>
      <c r="N670" s="530"/>
      <c r="O670" s="530"/>
      <c r="P670" s="530"/>
      <c r="Q670" s="530"/>
      <c r="R670" s="530"/>
      <c r="S670" s="530"/>
      <c r="T670" s="530" t="s">
        <v>226</v>
      </c>
      <c r="U670" s="530" t="s">
        <v>149</v>
      </c>
    </row>
    <row r="671" spans="1:21" ht="15" customHeight="1" x14ac:dyDescent="0.3">
      <c r="A671" s="530" t="str">
        <f t="shared" si="18"/>
        <v>North Wales.2013.Accommodation - Establishments.Non-Serviced Accommodation 5</v>
      </c>
      <c r="B671" s="530" t="s">
        <v>220</v>
      </c>
      <c r="C671" s="530" t="str">
        <f t="shared" si="19"/>
        <v>2013.Accommodation - Establishments.Non-Serviced Accommodation 5</v>
      </c>
      <c r="D671" s="530" t="s">
        <v>230</v>
      </c>
      <c r="E671" s="530" t="s">
        <v>150</v>
      </c>
      <c r="F671" s="530" t="s">
        <v>160</v>
      </c>
      <c r="G671" s="530" t="s">
        <v>223</v>
      </c>
      <c r="H671" s="530"/>
      <c r="I671" s="530"/>
      <c r="J671" s="530"/>
      <c r="K671" s="530"/>
      <c r="L671" s="530"/>
      <c r="M671" s="530"/>
      <c r="N671" s="530"/>
      <c r="O671" s="530"/>
      <c r="P671" s="530"/>
      <c r="Q671" s="530"/>
      <c r="R671" s="530"/>
      <c r="S671" s="530"/>
      <c r="T671" s="530" t="s">
        <v>223</v>
      </c>
      <c r="U671" s="530" t="s">
        <v>149</v>
      </c>
    </row>
    <row r="672" spans="1:21" ht="15" customHeight="1" x14ac:dyDescent="0.3">
      <c r="A672" s="530" t="str">
        <f t="shared" si="18"/>
        <v>North Wales.2013.Accommodation - Establishments.Non-Serviced Accommodation Total</v>
      </c>
      <c r="B672" s="530" t="s">
        <v>220</v>
      </c>
      <c r="C672" s="530" t="str">
        <f t="shared" si="19"/>
        <v>2013.Accommodation - Establishments.Non-Serviced Accommodation Total</v>
      </c>
      <c r="D672" s="530" t="s">
        <v>230</v>
      </c>
      <c r="E672" s="530" t="s">
        <v>150</v>
      </c>
      <c r="F672" s="530" t="s">
        <v>162</v>
      </c>
      <c r="G672" s="530" t="s">
        <v>223</v>
      </c>
      <c r="H672" s="530"/>
      <c r="I672" s="530"/>
      <c r="J672" s="530"/>
      <c r="K672" s="530"/>
      <c r="L672" s="530"/>
      <c r="M672" s="530"/>
      <c r="N672" s="530"/>
      <c r="O672" s="530"/>
      <c r="P672" s="530"/>
      <c r="Q672" s="530"/>
      <c r="R672" s="530"/>
      <c r="S672" s="530"/>
      <c r="T672" s="530" t="s">
        <v>223</v>
      </c>
      <c r="U672" s="530" t="s">
        <v>149</v>
      </c>
    </row>
    <row r="673" spans="1:21" ht="15" customHeight="1" x14ac:dyDescent="0.3">
      <c r="A673" s="530" t="str">
        <f t="shared" si="18"/>
        <v>North Wales.2013.Accommodation - Establishments.All Accommodation Types</v>
      </c>
      <c r="B673" s="530" t="s">
        <v>220</v>
      </c>
      <c r="C673" s="530" t="str">
        <f t="shared" si="19"/>
        <v>2013.Accommodation - Establishments.All Accommodation Types</v>
      </c>
      <c r="D673" s="530" t="s">
        <v>230</v>
      </c>
      <c r="E673" s="530" t="s">
        <v>150</v>
      </c>
      <c r="F673" s="530" t="s">
        <v>163</v>
      </c>
      <c r="G673" s="530" t="s">
        <v>223</v>
      </c>
      <c r="H673" s="530"/>
      <c r="I673" s="530"/>
      <c r="J673" s="530"/>
      <c r="K673" s="530"/>
      <c r="L673" s="530"/>
      <c r="M673" s="530"/>
      <c r="N673" s="530"/>
      <c r="O673" s="530"/>
      <c r="P673" s="530"/>
      <c r="Q673" s="530"/>
      <c r="R673" s="530"/>
      <c r="S673" s="530"/>
      <c r="T673" s="530" t="s">
        <v>223</v>
      </c>
      <c r="U673" s="530" t="s">
        <v>149</v>
      </c>
    </row>
    <row r="674" spans="1:21" ht="13.8" x14ac:dyDescent="0.3">
      <c r="A674" s="530" t="str">
        <f t="shared" si="18"/>
        <v>North Wales.2013.Accommodation - Bed Spaces.Serviced Accommodation 1</v>
      </c>
      <c r="B674" s="530" t="s">
        <v>220</v>
      </c>
      <c r="C674" s="530" t="str">
        <f t="shared" si="19"/>
        <v>2013.Accommodation - Bed Spaces.Serviced Accommodation 1</v>
      </c>
      <c r="D674" s="530" t="s">
        <v>230</v>
      </c>
      <c r="E674" s="530" t="s">
        <v>164</v>
      </c>
      <c r="F674" s="530" t="s">
        <v>151</v>
      </c>
      <c r="G674" s="530" t="s">
        <v>221</v>
      </c>
      <c r="H674" s="530"/>
      <c r="I674" s="530"/>
      <c r="J674" s="530"/>
      <c r="K674" s="530"/>
      <c r="L674" s="530"/>
      <c r="M674" s="530"/>
      <c r="N674" s="530"/>
      <c r="O674" s="530"/>
      <c r="P674" s="530"/>
      <c r="Q674" s="530"/>
      <c r="R674" s="530"/>
      <c r="S674" s="530"/>
      <c r="T674" s="530">
        <v>0</v>
      </c>
      <c r="U674" s="530" t="s">
        <v>58</v>
      </c>
    </row>
    <row r="675" spans="1:21" ht="13.8" x14ac:dyDescent="0.3">
      <c r="A675" s="530" t="str">
        <f t="shared" si="18"/>
        <v>North Wales.2013.Accommodation - Bed Spaces.Serviced Accommodation 2</v>
      </c>
      <c r="B675" s="530" t="s">
        <v>220</v>
      </c>
      <c r="C675" s="530" t="str">
        <f t="shared" si="19"/>
        <v>2013.Accommodation - Bed Spaces.Serviced Accommodation 2</v>
      </c>
      <c r="D675" s="530" t="s">
        <v>230</v>
      </c>
      <c r="E675" s="530" t="s">
        <v>164</v>
      </c>
      <c r="F675" s="530" t="s">
        <v>152</v>
      </c>
      <c r="G675" s="530" t="s">
        <v>222</v>
      </c>
      <c r="H675" s="530"/>
      <c r="I675" s="530"/>
      <c r="J675" s="530"/>
      <c r="K675" s="530"/>
      <c r="L675" s="530"/>
      <c r="M675" s="530"/>
      <c r="N675" s="530"/>
      <c r="O675" s="530"/>
      <c r="P675" s="530"/>
      <c r="Q675" s="530"/>
      <c r="R675" s="530"/>
      <c r="S675" s="530"/>
      <c r="T675" s="530">
        <v>0</v>
      </c>
      <c r="U675" s="530" t="s">
        <v>58</v>
      </c>
    </row>
    <row r="676" spans="1:21" ht="13.8" x14ac:dyDescent="0.3">
      <c r="A676" s="530" t="str">
        <f t="shared" si="18"/>
        <v>North Wales.2013.Accommodation - Bed Spaces.Serviced Accommodation 3</v>
      </c>
      <c r="B676" s="530" t="s">
        <v>220</v>
      </c>
      <c r="C676" s="530" t="str">
        <f t="shared" si="19"/>
        <v>2013.Accommodation - Bed Spaces.Serviced Accommodation 3</v>
      </c>
      <c r="D676" s="530" t="s">
        <v>230</v>
      </c>
      <c r="E676" s="530" t="s">
        <v>164</v>
      </c>
      <c r="F676" s="530" t="s">
        <v>153</v>
      </c>
      <c r="G676" s="530" t="s">
        <v>223</v>
      </c>
      <c r="H676" s="530"/>
      <c r="I676" s="530"/>
      <c r="J676" s="530"/>
      <c r="K676" s="530"/>
      <c r="L676" s="530"/>
      <c r="M676" s="530"/>
      <c r="N676" s="530"/>
      <c r="O676" s="530"/>
      <c r="P676" s="530"/>
      <c r="Q676" s="530"/>
      <c r="R676" s="530"/>
      <c r="S676" s="530"/>
      <c r="T676" s="530" t="s">
        <v>223</v>
      </c>
      <c r="U676" s="530" t="s">
        <v>58</v>
      </c>
    </row>
    <row r="677" spans="1:21" ht="13.8" x14ac:dyDescent="0.3">
      <c r="A677" s="530" t="str">
        <f t="shared" si="18"/>
        <v>North Wales.2013.Accommodation - Bed Spaces.Serviced Accommodation 4</v>
      </c>
      <c r="B677" s="530" t="s">
        <v>220</v>
      </c>
      <c r="C677" s="530" t="str">
        <f t="shared" si="19"/>
        <v>2013.Accommodation - Bed Spaces.Serviced Accommodation 4</v>
      </c>
      <c r="D677" s="530" t="s">
        <v>230</v>
      </c>
      <c r="E677" s="530" t="s">
        <v>164</v>
      </c>
      <c r="F677" s="530" t="s">
        <v>154</v>
      </c>
      <c r="G677" s="530" t="s">
        <v>223</v>
      </c>
      <c r="H677" s="530"/>
      <c r="I677" s="530"/>
      <c r="J677" s="530"/>
      <c r="K677" s="530"/>
      <c r="L677" s="530"/>
      <c r="M677" s="530"/>
      <c r="N677" s="530"/>
      <c r="O677" s="530"/>
      <c r="P677" s="530"/>
      <c r="Q677" s="530"/>
      <c r="R677" s="530"/>
      <c r="S677" s="530"/>
      <c r="T677" s="530" t="s">
        <v>223</v>
      </c>
      <c r="U677" s="530" t="s">
        <v>58</v>
      </c>
    </row>
    <row r="678" spans="1:21" ht="13.8" x14ac:dyDescent="0.3">
      <c r="A678" s="530" t="str">
        <f t="shared" si="18"/>
        <v>North Wales.2013.Accommodation - Bed Spaces.Serviced Accommodation 5</v>
      </c>
      <c r="B678" s="530" t="s">
        <v>220</v>
      </c>
      <c r="C678" s="530" t="str">
        <f t="shared" si="19"/>
        <v>2013.Accommodation - Bed Spaces.Serviced Accommodation 5</v>
      </c>
      <c r="D678" s="530" t="s">
        <v>230</v>
      </c>
      <c r="E678" s="530" t="s">
        <v>164</v>
      </c>
      <c r="F678" s="530" t="s">
        <v>155</v>
      </c>
      <c r="G678" s="530" t="s">
        <v>223</v>
      </c>
      <c r="H678" s="530"/>
      <c r="I678" s="530"/>
      <c r="J678" s="530"/>
      <c r="K678" s="530"/>
      <c r="L678" s="530"/>
      <c r="M678" s="530"/>
      <c r="N678" s="530"/>
      <c r="O678" s="530"/>
      <c r="P678" s="530"/>
      <c r="Q678" s="530"/>
      <c r="R678" s="530"/>
      <c r="S678" s="530"/>
      <c r="T678" s="530" t="s">
        <v>223</v>
      </c>
      <c r="U678" s="530" t="s">
        <v>58</v>
      </c>
    </row>
    <row r="679" spans="1:21" ht="13.8" x14ac:dyDescent="0.3">
      <c r="A679" s="530" t="str">
        <f t="shared" si="18"/>
        <v>North Wales.2013.Accommodation - Bed Spaces.Serviced Accommodation Total</v>
      </c>
      <c r="B679" s="530" t="s">
        <v>220</v>
      </c>
      <c r="C679" s="530" t="str">
        <f t="shared" si="19"/>
        <v>2013.Accommodation - Bed Spaces.Serviced Accommodation Total</v>
      </c>
      <c r="D679" s="530" t="s">
        <v>230</v>
      </c>
      <c r="E679" s="530" t="s">
        <v>164</v>
      </c>
      <c r="F679" s="530" t="s">
        <v>161</v>
      </c>
      <c r="G679" s="530" t="s">
        <v>224</v>
      </c>
      <c r="H679" s="530"/>
      <c r="I679" s="530"/>
      <c r="J679" s="530"/>
      <c r="K679" s="530"/>
      <c r="L679" s="530"/>
      <c r="M679" s="530"/>
      <c r="N679" s="530"/>
      <c r="O679" s="530"/>
      <c r="P679" s="530"/>
      <c r="Q679" s="530"/>
      <c r="R679" s="530"/>
      <c r="S679" s="530"/>
      <c r="T679" s="530">
        <v>0</v>
      </c>
      <c r="U679" s="530" t="s">
        <v>58</v>
      </c>
    </row>
    <row r="680" spans="1:21" ht="13.8" x14ac:dyDescent="0.3">
      <c r="A680" s="530" t="str">
        <f t="shared" si="18"/>
        <v>North Wales.2013.Accommodation - Bed Spaces.Non-Serviced Accommodation 1</v>
      </c>
      <c r="B680" s="530" t="s">
        <v>220</v>
      </c>
      <c r="C680" s="530" t="str">
        <f t="shared" si="19"/>
        <v>2013.Accommodation - Bed Spaces.Non-Serviced Accommodation 1</v>
      </c>
      <c r="D680" s="530" t="s">
        <v>230</v>
      </c>
      <c r="E680" s="530" t="s">
        <v>164</v>
      </c>
      <c r="F680" s="530" t="s">
        <v>156</v>
      </c>
      <c r="G680" s="530" t="s">
        <v>223</v>
      </c>
      <c r="H680" s="530"/>
      <c r="I680" s="530"/>
      <c r="J680" s="530"/>
      <c r="K680" s="530"/>
      <c r="L680" s="530"/>
      <c r="M680" s="530"/>
      <c r="N680" s="530"/>
      <c r="O680" s="530"/>
      <c r="P680" s="530"/>
      <c r="Q680" s="530"/>
      <c r="R680" s="530"/>
      <c r="S680" s="530"/>
      <c r="T680" s="530" t="s">
        <v>223</v>
      </c>
      <c r="U680" s="530" t="s">
        <v>58</v>
      </c>
    </row>
    <row r="681" spans="1:21" ht="13.8" x14ac:dyDescent="0.3">
      <c r="A681" s="530" t="str">
        <f t="shared" si="18"/>
        <v>North Wales.2013.Accommodation - Bed Spaces.Non-Serviced Accommodation 2</v>
      </c>
      <c r="B681" s="530" t="s">
        <v>220</v>
      </c>
      <c r="C681" s="530" t="str">
        <f t="shared" si="19"/>
        <v>2013.Accommodation - Bed Spaces.Non-Serviced Accommodation 2</v>
      </c>
      <c r="D681" s="530" t="s">
        <v>230</v>
      </c>
      <c r="E681" s="530" t="s">
        <v>164</v>
      </c>
      <c r="F681" s="530" t="s">
        <v>157</v>
      </c>
      <c r="G681" s="530" t="s">
        <v>224</v>
      </c>
      <c r="H681" s="530"/>
      <c r="I681" s="530"/>
      <c r="J681" s="530"/>
      <c r="K681" s="530"/>
      <c r="L681" s="530"/>
      <c r="M681" s="530"/>
      <c r="N681" s="530"/>
      <c r="O681" s="530"/>
      <c r="P681" s="530"/>
      <c r="Q681" s="530"/>
      <c r="R681" s="530"/>
      <c r="S681" s="530"/>
      <c r="T681" s="530">
        <v>0</v>
      </c>
      <c r="U681" s="530" t="s">
        <v>58</v>
      </c>
    </row>
    <row r="682" spans="1:21" ht="13.8" x14ac:dyDescent="0.3">
      <c r="A682" s="530" t="str">
        <f t="shared" si="18"/>
        <v>North Wales.2013.Accommodation - Bed Spaces.Non-Serviced Accommodation 3</v>
      </c>
      <c r="B682" s="530" t="s">
        <v>220</v>
      </c>
      <c r="C682" s="530" t="str">
        <f t="shared" si="19"/>
        <v>2013.Accommodation - Bed Spaces.Non-Serviced Accommodation 3</v>
      </c>
      <c r="D682" s="530" t="s">
        <v>230</v>
      </c>
      <c r="E682" s="530" t="s">
        <v>164</v>
      </c>
      <c r="F682" s="530" t="s">
        <v>158</v>
      </c>
      <c r="G682" s="530" t="s">
        <v>223</v>
      </c>
      <c r="H682" s="530"/>
      <c r="I682" s="530"/>
      <c r="J682" s="530"/>
      <c r="K682" s="530"/>
      <c r="L682" s="530"/>
      <c r="M682" s="530"/>
      <c r="N682" s="530"/>
      <c r="O682" s="530"/>
      <c r="P682" s="530"/>
      <c r="Q682" s="530"/>
      <c r="R682" s="530"/>
      <c r="S682" s="530"/>
      <c r="T682" s="530" t="s">
        <v>223</v>
      </c>
      <c r="U682" s="530" t="s">
        <v>58</v>
      </c>
    </row>
    <row r="683" spans="1:21" ht="13.8" x14ac:dyDescent="0.3">
      <c r="A683" s="530" t="str">
        <f t="shared" si="18"/>
        <v>North Wales.2013.Accommodation - Bed Spaces.Non-Serviced Accommodation 4</v>
      </c>
      <c r="B683" s="530" t="s">
        <v>220</v>
      </c>
      <c r="C683" s="530" t="str">
        <f t="shared" si="19"/>
        <v>2013.Accommodation - Bed Spaces.Non-Serviced Accommodation 4</v>
      </c>
      <c r="D683" s="530" t="s">
        <v>230</v>
      </c>
      <c r="E683" s="530" t="s">
        <v>164</v>
      </c>
      <c r="F683" s="530" t="s">
        <v>159</v>
      </c>
      <c r="G683" s="530" t="s">
        <v>222</v>
      </c>
      <c r="H683" s="530"/>
      <c r="I683" s="530"/>
      <c r="J683" s="530"/>
      <c r="K683" s="530"/>
      <c r="L683" s="530"/>
      <c r="M683" s="530"/>
      <c r="N683" s="530"/>
      <c r="O683" s="530"/>
      <c r="P683" s="530"/>
      <c r="Q683" s="530"/>
      <c r="R683" s="530"/>
      <c r="S683" s="530"/>
      <c r="T683" s="530">
        <v>0</v>
      </c>
      <c r="U683" s="530" t="s">
        <v>58</v>
      </c>
    </row>
    <row r="684" spans="1:21" ht="13.8" x14ac:dyDescent="0.3">
      <c r="A684" s="530" t="str">
        <f t="shared" si="18"/>
        <v>North Wales.2013.Accommodation - Bed Spaces.Non-Serviced Accommodation 5</v>
      </c>
      <c r="B684" s="530" t="s">
        <v>220</v>
      </c>
      <c r="C684" s="530" t="str">
        <f t="shared" si="19"/>
        <v>2013.Accommodation - Bed Spaces.Non-Serviced Accommodation 5</v>
      </c>
      <c r="D684" s="530" t="s">
        <v>230</v>
      </c>
      <c r="E684" s="530" t="s">
        <v>164</v>
      </c>
      <c r="F684" s="530" t="s">
        <v>160</v>
      </c>
      <c r="G684" s="530" t="s">
        <v>223</v>
      </c>
      <c r="H684" s="530"/>
      <c r="I684" s="530"/>
      <c r="J684" s="530"/>
      <c r="K684" s="530"/>
      <c r="L684" s="530"/>
      <c r="M684" s="530"/>
      <c r="N684" s="530"/>
      <c r="O684" s="530"/>
      <c r="P684" s="530"/>
      <c r="Q684" s="530"/>
      <c r="R684" s="530"/>
      <c r="S684" s="530"/>
      <c r="T684" s="530" t="s">
        <v>223</v>
      </c>
      <c r="U684" s="530" t="s">
        <v>58</v>
      </c>
    </row>
    <row r="685" spans="1:21" ht="13.8" x14ac:dyDescent="0.3">
      <c r="A685" s="530" t="str">
        <f t="shared" si="18"/>
        <v>North Wales.2013.Accommodation - Bed Spaces.Non-Serviced Accommodation Total</v>
      </c>
      <c r="B685" s="530" t="s">
        <v>220</v>
      </c>
      <c r="C685" s="530" t="str">
        <f t="shared" si="19"/>
        <v>2013.Accommodation - Bed Spaces.Non-Serviced Accommodation Total</v>
      </c>
      <c r="D685" s="530" t="s">
        <v>230</v>
      </c>
      <c r="E685" s="530" t="s">
        <v>164</v>
      </c>
      <c r="F685" s="530" t="s">
        <v>162</v>
      </c>
      <c r="G685" s="530" t="s">
        <v>223</v>
      </c>
      <c r="H685" s="530"/>
      <c r="I685" s="530"/>
      <c r="J685" s="530"/>
      <c r="K685" s="530"/>
      <c r="L685" s="530"/>
      <c r="M685" s="530"/>
      <c r="N685" s="530"/>
      <c r="O685" s="530"/>
      <c r="P685" s="530"/>
      <c r="Q685" s="530"/>
      <c r="R685" s="530"/>
      <c r="S685" s="530"/>
      <c r="T685" s="530" t="s">
        <v>223</v>
      </c>
      <c r="U685" s="530" t="s">
        <v>58</v>
      </c>
    </row>
    <row r="686" spans="1:21" ht="13.8" x14ac:dyDescent="0.3">
      <c r="A686" s="530" t="str">
        <f t="shared" si="18"/>
        <v>North Wales.2013.Accommodation - Bed Spaces.All Accommodation Types</v>
      </c>
      <c r="B686" s="530" t="s">
        <v>220</v>
      </c>
      <c r="C686" s="530" t="str">
        <f t="shared" si="19"/>
        <v>2013.Accommodation - Bed Spaces.All Accommodation Types</v>
      </c>
      <c r="D686" s="530" t="s">
        <v>230</v>
      </c>
      <c r="E686" s="530" t="s">
        <v>164</v>
      </c>
      <c r="F686" s="530" t="s">
        <v>163</v>
      </c>
      <c r="G686" s="530" t="s">
        <v>223</v>
      </c>
      <c r="H686" s="530"/>
      <c r="I686" s="530"/>
      <c r="J686" s="530"/>
      <c r="K686" s="530"/>
      <c r="L686" s="530"/>
      <c r="M686" s="530"/>
      <c r="N686" s="530"/>
      <c r="O686" s="530"/>
      <c r="P686" s="530"/>
      <c r="Q686" s="530"/>
      <c r="R686" s="530"/>
      <c r="S686" s="530"/>
      <c r="T686" s="530" t="s">
        <v>223</v>
      </c>
      <c r="U686" s="530" t="s">
        <v>58</v>
      </c>
    </row>
    <row r="687" spans="1:21" ht="13.8" x14ac:dyDescent="0.3">
      <c r="A687" s="530" t="str">
        <f t="shared" si="18"/>
        <v>North Wales.2014.Accommodation - Establishments.Serviced Accommodation 1</v>
      </c>
      <c r="B687" s="530" t="s">
        <v>220</v>
      </c>
      <c r="C687" s="530" t="str">
        <f t="shared" si="19"/>
        <v>2014.Accommodation - Establishments.Serviced Accommodation 1</v>
      </c>
      <c r="D687" s="530" t="s">
        <v>231</v>
      </c>
      <c r="E687" s="530" t="s">
        <v>150</v>
      </c>
      <c r="F687" s="530" t="s">
        <v>151</v>
      </c>
      <c r="G687" s="530" t="s">
        <v>221</v>
      </c>
      <c r="H687" s="530"/>
      <c r="I687" s="530"/>
      <c r="J687" s="530"/>
      <c r="K687" s="530"/>
      <c r="L687" s="530"/>
      <c r="M687" s="530"/>
      <c r="N687" s="530"/>
      <c r="O687" s="530"/>
      <c r="P687" s="530"/>
      <c r="Q687" s="530"/>
      <c r="R687" s="530"/>
      <c r="S687" s="530"/>
      <c r="T687" s="530" t="s">
        <v>225</v>
      </c>
      <c r="U687" s="530" t="s">
        <v>149</v>
      </c>
    </row>
    <row r="688" spans="1:21" ht="13.8" x14ac:dyDescent="0.3">
      <c r="A688" s="530" t="str">
        <f t="shared" si="18"/>
        <v>North Wales.2014.Accommodation - Establishments.Serviced Accommodation 2</v>
      </c>
      <c r="B688" s="530" t="s">
        <v>220</v>
      </c>
      <c r="C688" s="530" t="str">
        <f t="shared" si="19"/>
        <v>2014.Accommodation - Establishments.Serviced Accommodation 2</v>
      </c>
      <c r="D688" s="530" t="s">
        <v>231</v>
      </c>
      <c r="E688" s="530" t="s">
        <v>150</v>
      </c>
      <c r="F688" s="530" t="s">
        <v>152</v>
      </c>
      <c r="G688" s="530" t="s">
        <v>222</v>
      </c>
      <c r="H688" s="530"/>
      <c r="I688" s="530"/>
      <c r="J688" s="530"/>
      <c r="K688" s="530"/>
      <c r="L688" s="530"/>
      <c r="M688" s="530"/>
      <c r="N688" s="530"/>
      <c r="O688" s="530"/>
      <c r="P688" s="530"/>
      <c r="Q688" s="530"/>
      <c r="R688" s="530"/>
      <c r="S688" s="530"/>
      <c r="T688" s="530" t="s">
        <v>226</v>
      </c>
      <c r="U688" s="530" t="s">
        <v>149</v>
      </c>
    </row>
    <row r="689" spans="1:21" ht="13.8" x14ac:dyDescent="0.3">
      <c r="A689" s="530" t="str">
        <f t="shared" si="18"/>
        <v>North Wales.2014.Accommodation - Establishments.Serviced Accommodation 3</v>
      </c>
      <c r="B689" s="530" t="s">
        <v>220</v>
      </c>
      <c r="C689" s="530" t="str">
        <f t="shared" si="19"/>
        <v>2014.Accommodation - Establishments.Serviced Accommodation 3</v>
      </c>
      <c r="D689" s="530" t="s">
        <v>231</v>
      </c>
      <c r="E689" s="530" t="s">
        <v>150</v>
      </c>
      <c r="F689" s="530" t="s">
        <v>153</v>
      </c>
      <c r="G689" s="530" t="s">
        <v>223</v>
      </c>
      <c r="H689" s="530"/>
      <c r="I689" s="530"/>
      <c r="J689" s="530"/>
      <c r="K689" s="530"/>
      <c r="L689" s="530"/>
      <c r="M689" s="530"/>
      <c r="N689" s="530"/>
      <c r="O689" s="530"/>
      <c r="P689" s="530"/>
      <c r="Q689" s="530"/>
      <c r="R689" s="530"/>
      <c r="S689" s="530"/>
      <c r="T689" s="530" t="s">
        <v>223</v>
      </c>
      <c r="U689" s="530" t="s">
        <v>149</v>
      </c>
    </row>
    <row r="690" spans="1:21" ht="13.8" x14ac:dyDescent="0.3">
      <c r="A690" s="530" t="str">
        <f t="shared" si="18"/>
        <v>North Wales.2014.Accommodation - Establishments.Serviced Accommodation 4</v>
      </c>
      <c r="B690" s="530" t="s">
        <v>220</v>
      </c>
      <c r="C690" s="530" t="str">
        <f t="shared" si="19"/>
        <v>2014.Accommodation - Establishments.Serviced Accommodation 4</v>
      </c>
      <c r="D690" s="530" t="s">
        <v>231</v>
      </c>
      <c r="E690" s="530" t="s">
        <v>150</v>
      </c>
      <c r="F690" s="530" t="s">
        <v>154</v>
      </c>
      <c r="G690" s="530" t="s">
        <v>223</v>
      </c>
      <c r="H690" s="530"/>
      <c r="I690" s="530"/>
      <c r="J690" s="530"/>
      <c r="K690" s="530"/>
      <c r="L690" s="530"/>
      <c r="M690" s="530"/>
      <c r="N690" s="530"/>
      <c r="O690" s="530"/>
      <c r="P690" s="530"/>
      <c r="Q690" s="530"/>
      <c r="R690" s="530"/>
      <c r="S690" s="530"/>
      <c r="T690" s="530" t="s">
        <v>223</v>
      </c>
      <c r="U690" s="530" t="s">
        <v>149</v>
      </c>
    </row>
    <row r="691" spans="1:21" ht="13.8" x14ac:dyDescent="0.3">
      <c r="A691" s="530" t="str">
        <f t="shared" si="18"/>
        <v>North Wales.2014.Accommodation - Establishments.Serviced Accommodation 5</v>
      </c>
      <c r="B691" s="530" t="s">
        <v>220</v>
      </c>
      <c r="C691" s="530" t="str">
        <f t="shared" si="19"/>
        <v>2014.Accommodation - Establishments.Serviced Accommodation 5</v>
      </c>
      <c r="D691" s="530" t="s">
        <v>231</v>
      </c>
      <c r="E691" s="530" t="s">
        <v>150</v>
      </c>
      <c r="F691" s="530" t="s">
        <v>155</v>
      </c>
      <c r="G691" s="530" t="s">
        <v>223</v>
      </c>
      <c r="H691" s="530"/>
      <c r="I691" s="530"/>
      <c r="J691" s="530"/>
      <c r="K691" s="530"/>
      <c r="L691" s="530"/>
      <c r="M691" s="530"/>
      <c r="N691" s="530"/>
      <c r="O691" s="530"/>
      <c r="P691" s="530"/>
      <c r="Q691" s="530"/>
      <c r="R691" s="530"/>
      <c r="S691" s="530"/>
      <c r="T691" s="530" t="s">
        <v>223</v>
      </c>
      <c r="U691" s="530" t="s">
        <v>149</v>
      </c>
    </row>
    <row r="692" spans="1:21" ht="15" customHeight="1" x14ac:dyDescent="0.3">
      <c r="A692" s="530" t="str">
        <f t="shared" si="18"/>
        <v>North Wales.2014.Accommodation - Establishments.Serviced Accommodation Total</v>
      </c>
      <c r="B692" s="530" t="s">
        <v>220</v>
      </c>
      <c r="C692" s="530" t="str">
        <f t="shared" si="19"/>
        <v>2014.Accommodation - Establishments.Serviced Accommodation Total</v>
      </c>
      <c r="D692" s="530" t="s">
        <v>231</v>
      </c>
      <c r="E692" s="530" t="s">
        <v>150</v>
      </c>
      <c r="F692" s="530" t="s">
        <v>161</v>
      </c>
      <c r="G692" s="530" t="s">
        <v>224</v>
      </c>
      <c r="H692" s="530"/>
      <c r="I692" s="530"/>
      <c r="J692" s="530"/>
      <c r="K692" s="530"/>
      <c r="L692" s="530"/>
      <c r="M692" s="530"/>
      <c r="N692" s="530"/>
      <c r="O692" s="530"/>
      <c r="P692" s="530"/>
      <c r="Q692" s="530"/>
      <c r="R692" s="530"/>
      <c r="S692" s="530"/>
      <c r="T692" s="530" t="s">
        <v>227</v>
      </c>
      <c r="U692" s="530" t="s">
        <v>149</v>
      </c>
    </row>
    <row r="693" spans="1:21" ht="15" customHeight="1" x14ac:dyDescent="0.3">
      <c r="A693" s="530" t="str">
        <f t="shared" si="18"/>
        <v>North Wales.2014.Accommodation - Establishments.Non-Serviced Accommodation 1</v>
      </c>
      <c r="B693" s="530" t="s">
        <v>220</v>
      </c>
      <c r="C693" s="530" t="str">
        <f t="shared" si="19"/>
        <v>2014.Accommodation - Establishments.Non-Serviced Accommodation 1</v>
      </c>
      <c r="D693" s="530" t="s">
        <v>231</v>
      </c>
      <c r="E693" s="530" t="s">
        <v>150</v>
      </c>
      <c r="F693" s="530" t="s">
        <v>156</v>
      </c>
      <c r="G693" s="530" t="s">
        <v>223</v>
      </c>
      <c r="H693" s="530"/>
      <c r="I693" s="530"/>
      <c r="J693" s="530"/>
      <c r="K693" s="530"/>
      <c r="L693" s="530"/>
      <c r="M693" s="530"/>
      <c r="N693" s="530"/>
      <c r="O693" s="530"/>
      <c r="P693" s="530"/>
      <c r="Q693" s="530"/>
      <c r="R693" s="530"/>
      <c r="S693" s="530"/>
      <c r="T693" s="530" t="s">
        <v>223</v>
      </c>
      <c r="U693" s="530" t="s">
        <v>149</v>
      </c>
    </row>
    <row r="694" spans="1:21" ht="15" customHeight="1" x14ac:dyDescent="0.3">
      <c r="A694" s="530" t="str">
        <f t="shared" si="18"/>
        <v>North Wales.2014.Accommodation - Establishments.Non-Serviced Accommodation 2</v>
      </c>
      <c r="B694" s="530" t="s">
        <v>220</v>
      </c>
      <c r="C694" s="530" t="str">
        <f t="shared" si="19"/>
        <v>2014.Accommodation - Establishments.Non-Serviced Accommodation 2</v>
      </c>
      <c r="D694" s="530" t="s">
        <v>231</v>
      </c>
      <c r="E694" s="530" t="s">
        <v>150</v>
      </c>
      <c r="F694" s="530" t="s">
        <v>157</v>
      </c>
      <c r="G694" s="530" t="s">
        <v>224</v>
      </c>
      <c r="H694" s="530"/>
      <c r="I694" s="530"/>
      <c r="J694" s="530"/>
      <c r="K694" s="530"/>
      <c r="L694" s="530"/>
      <c r="M694" s="530"/>
      <c r="N694" s="530"/>
      <c r="O694" s="530"/>
      <c r="P694" s="530"/>
      <c r="Q694" s="530"/>
      <c r="R694" s="530"/>
      <c r="S694" s="530"/>
      <c r="T694" s="530" t="s">
        <v>228</v>
      </c>
      <c r="U694" s="530" t="s">
        <v>149</v>
      </c>
    </row>
    <row r="695" spans="1:21" ht="15" customHeight="1" x14ac:dyDescent="0.3">
      <c r="A695" s="530" t="str">
        <f t="shared" si="18"/>
        <v>North Wales.2014.Accommodation - Establishments.Non-Serviced Accommodation 3</v>
      </c>
      <c r="B695" s="530" t="s">
        <v>220</v>
      </c>
      <c r="C695" s="530" t="str">
        <f t="shared" si="19"/>
        <v>2014.Accommodation - Establishments.Non-Serviced Accommodation 3</v>
      </c>
      <c r="D695" s="530" t="s">
        <v>231</v>
      </c>
      <c r="E695" s="530" t="s">
        <v>150</v>
      </c>
      <c r="F695" s="530" t="s">
        <v>158</v>
      </c>
      <c r="G695" s="530" t="s">
        <v>223</v>
      </c>
      <c r="H695" s="530"/>
      <c r="I695" s="530"/>
      <c r="J695" s="530"/>
      <c r="K695" s="530"/>
      <c r="L695" s="530"/>
      <c r="M695" s="530"/>
      <c r="N695" s="530"/>
      <c r="O695" s="530"/>
      <c r="P695" s="530"/>
      <c r="Q695" s="530"/>
      <c r="R695" s="530"/>
      <c r="S695" s="530"/>
      <c r="T695" s="530" t="s">
        <v>223</v>
      </c>
      <c r="U695" s="530" t="s">
        <v>149</v>
      </c>
    </row>
    <row r="696" spans="1:21" ht="15" customHeight="1" x14ac:dyDescent="0.3">
      <c r="A696" s="530" t="str">
        <f t="shared" si="18"/>
        <v>North Wales.2014.Accommodation - Establishments.Non-Serviced Accommodation 4</v>
      </c>
      <c r="B696" s="530" t="s">
        <v>220</v>
      </c>
      <c r="C696" s="530" t="str">
        <f t="shared" si="19"/>
        <v>2014.Accommodation - Establishments.Non-Serviced Accommodation 4</v>
      </c>
      <c r="D696" s="530" t="s">
        <v>231</v>
      </c>
      <c r="E696" s="530" t="s">
        <v>150</v>
      </c>
      <c r="F696" s="530" t="s">
        <v>159</v>
      </c>
      <c r="G696" s="530" t="s">
        <v>222</v>
      </c>
      <c r="H696" s="530"/>
      <c r="I696" s="530"/>
      <c r="J696" s="530"/>
      <c r="K696" s="530"/>
      <c r="L696" s="530"/>
      <c r="M696" s="530"/>
      <c r="N696" s="530"/>
      <c r="O696" s="530"/>
      <c r="P696" s="530"/>
      <c r="Q696" s="530"/>
      <c r="R696" s="530"/>
      <c r="S696" s="530"/>
      <c r="T696" s="530" t="s">
        <v>226</v>
      </c>
      <c r="U696" s="530" t="s">
        <v>149</v>
      </c>
    </row>
    <row r="697" spans="1:21" ht="15" customHeight="1" x14ac:dyDescent="0.3">
      <c r="A697" s="530" t="str">
        <f t="shared" si="18"/>
        <v>North Wales.2014.Accommodation - Establishments.Non-Serviced Accommodation 5</v>
      </c>
      <c r="B697" s="530" t="s">
        <v>220</v>
      </c>
      <c r="C697" s="530" t="str">
        <f t="shared" si="19"/>
        <v>2014.Accommodation - Establishments.Non-Serviced Accommodation 5</v>
      </c>
      <c r="D697" s="530" t="s">
        <v>231</v>
      </c>
      <c r="E697" s="530" t="s">
        <v>150</v>
      </c>
      <c r="F697" s="530" t="s">
        <v>160</v>
      </c>
      <c r="G697" s="530" t="s">
        <v>223</v>
      </c>
      <c r="H697" s="530"/>
      <c r="I697" s="530"/>
      <c r="J697" s="530"/>
      <c r="K697" s="530"/>
      <c r="L697" s="530"/>
      <c r="M697" s="530"/>
      <c r="N697" s="530"/>
      <c r="O697" s="530"/>
      <c r="P697" s="530"/>
      <c r="Q697" s="530"/>
      <c r="R697" s="530"/>
      <c r="S697" s="530"/>
      <c r="T697" s="530" t="s">
        <v>223</v>
      </c>
      <c r="U697" s="530" t="s">
        <v>149</v>
      </c>
    </row>
    <row r="698" spans="1:21" ht="15" customHeight="1" x14ac:dyDescent="0.3">
      <c r="A698" s="530" t="str">
        <f t="shared" si="18"/>
        <v>North Wales.2014.Accommodation - Establishments.Non-Serviced Accommodation Total</v>
      </c>
      <c r="B698" s="530" t="s">
        <v>220</v>
      </c>
      <c r="C698" s="530" t="str">
        <f t="shared" si="19"/>
        <v>2014.Accommodation - Establishments.Non-Serviced Accommodation Total</v>
      </c>
      <c r="D698" s="530" t="s">
        <v>231</v>
      </c>
      <c r="E698" s="530" t="s">
        <v>150</v>
      </c>
      <c r="F698" s="530" t="s">
        <v>162</v>
      </c>
      <c r="G698" s="530" t="s">
        <v>223</v>
      </c>
      <c r="H698" s="530"/>
      <c r="I698" s="530"/>
      <c r="J698" s="530"/>
      <c r="K698" s="530"/>
      <c r="L698" s="530"/>
      <c r="M698" s="530"/>
      <c r="N698" s="530"/>
      <c r="O698" s="530"/>
      <c r="P698" s="530"/>
      <c r="Q698" s="530"/>
      <c r="R698" s="530"/>
      <c r="S698" s="530"/>
      <c r="T698" s="530" t="s">
        <v>223</v>
      </c>
      <c r="U698" s="530" t="s">
        <v>149</v>
      </c>
    </row>
    <row r="699" spans="1:21" ht="15" customHeight="1" x14ac:dyDescent="0.3">
      <c r="A699" s="530" t="str">
        <f t="shared" si="18"/>
        <v>North Wales.2014.Accommodation - Establishments.All Accommodation Types</v>
      </c>
      <c r="B699" s="530" t="s">
        <v>220</v>
      </c>
      <c r="C699" s="530" t="str">
        <f t="shared" si="19"/>
        <v>2014.Accommodation - Establishments.All Accommodation Types</v>
      </c>
      <c r="D699" s="530" t="s">
        <v>231</v>
      </c>
      <c r="E699" s="530" t="s">
        <v>150</v>
      </c>
      <c r="F699" s="530" t="s">
        <v>163</v>
      </c>
      <c r="G699" s="530" t="s">
        <v>223</v>
      </c>
      <c r="H699" s="530"/>
      <c r="I699" s="530"/>
      <c r="J699" s="530"/>
      <c r="K699" s="530"/>
      <c r="L699" s="530"/>
      <c r="M699" s="530"/>
      <c r="N699" s="530"/>
      <c r="O699" s="530"/>
      <c r="P699" s="530"/>
      <c r="Q699" s="530"/>
      <c r="R699" s="530"/>
      <c r="S699" s="530"/>
      <c r="T699" s="530" t="s">
        <v>223</v>
      </c>
      <c r="U699" s="530" t="s">
        <v>149</v>
      </c>
    </row>
    <row r="700" spans="1:21" ht="13.8" x14ac:dyDescent="0.3">
      <c r="A700" s="530" t="str">
        <f t="shared" si="18"/>
        <v>North Wales.2014.Accommodation - Bed Spaces.Serviced Accommodation 1</v>
      </c>
      <c r="B700" s="530" t="s">
        <v>220</v>
      </c>
      <c r="C700" s="530" t="str">
        <f t="shared" si="19"/>
        <v>2014.Accommodation - Bed Spaces.Serviced Accommodation 1</v>
      </c>
      <c r="D700" s="530" t="s">
        <v>231</v>
      </c>
      <c r="E700" s="530" t="s">
        <v>164</v>
      </c>
      <c r="F700" s="530" t="s">
        <v>151</v>
      </c>
      <c r="G700" s="530" t="s">
        <v>221</v>
      </c>
      <c r="H700" s="530"/>
      <c r="I700" s="530"/>
      <c r="J700" s="530"/>
      <c r="K700" s="530"/>
      <c r="L700" s="530"/>
      <c r="M700" s="530"/>
      <c r="N700" s="530"/>
      <c r="O700" s="530"/>
      <c r="P700" s="530"/>
      <c r="Q700" s="530"/>
      <c r="R700" s="530"/>
      <c r="S700" s="530"/>
      <c r="T700" s="530">
        <v>0</v>
      </c>
      <c r="U700" s="530" t="s">
        <v>58</v>
      </c>
    </row>
    <row r="701" spans="1:21" ht="13.8" x14ac:dyDescent="0.3">
      <c r="A701" s="530" t="str">
        <f t="shared" si="18"/>
        <v>North Wales.2014.Accommodation - Bed Spaces.Serviced Accommodation 2</v>
      </c>
      <c r="B701" s="530" t="s">
        <v>220</v>
      </c>
      <c r="C701" s="530" t="str">
        <f t="shared" si="19"/>
        <v>2014.Accommodation - Bed Spaces.Serviced Accommodation 2</v>
      </c>
      <c r="D701" s="530" t="s">
        <v>231</v>
      </c>
      <c r="E701" s="530" t="s">
        <v>164</v>
      </c>
      <c r="F701" s="530" t="s">
        <v>152</v>
      </c>
      <c r="G701" s="530" t="s">
        <v>222</v>
      </c>
      <c r="H701" s="530"/>
      <c r="I701" s="530"/>
      <c r="J701" s="530"/>
      <c r="K701" s="530"/>
      <c r="L701" s="530"/>
      <c r="M701" s="530"/>
      <c r="N701" s="530"/>
      <c r="O701" s="530"/>
      <c r="P701" s="530"/>
      <c r="Q701" s="530"/>
      <c r="R701" s="530"/>
      <c r="S701" s="530"/>
      <c r="T701" s="530">
        <v>0</v>
      </c>
      <c r="U701" s="530" t="s">
        <v>58</v>
      </c>
    </row>
    <row r="702" spans="1:21" ht="13.8" x14ac:dyDescent="0.3">
      <c r="A702" s="530" t="str">
        <f t="shared" si="18"/>
        <v>North Wales.2014.Accommodation - Bed Spaces.Serviced Accommodation 3</v>
      </c>
      <c r="B702" s="530" t="s">
        <v>220</v>
      </c>
      <c r="C702" s="530" t="str">
        <f t="shared" si="19"/>
        <v>2014.Accommodation - Bed Spaces.Serviced Accommodation 3</v>
      </c>
      <c r="D702" s="530" t="s">
        <v>231</v>
      </c>
      <c r="E702" s="530" t="s">
        <v>164</v>
      </c>
      <c r="F702" s="530" t="s">
        <v>153</v>
      </c>
      <c r="G702" s="530" t="s">
        <v>223</v>
      </c>
      <c r="H702" s="530"/>
      <c r="I702" s="530"/>
      <c r="J702" s="530"/>
      <c r="K702" s="530"/>
      <c r="L702" s="530"/>
      <c r="M702" s="530"/>
      <c r="N702" s="530"/>
      <c r="O702" s="530"/>
      <c r="P702" s="530"/>
      <c r="Q702" s="530"/>
      <c r="R702" s="530"/>
      <c r="S702" s="530"/>
      <c r="T702" s="530" t="s">
        <v>223</v>
      </c>
      <c r="U702" s="530" t="s">
        <v>58</v>
      </c>
    </row>
    <row r="703" spans="1:21" ht="13.8" x14ac:dyDescent="0.3">
      <c r="A703" s="530" t="str">
        <f t="shared" si="18"/>
        <v>North Wales.2014.Accommodation - Bed Spaces.Serviced Accommodation 4</v>
      </c>
      <c r="B703" s="530" t="s">
        <v>220</v>
      </c>
      <c r="C703" s="530" t="str">
        <f t="shared" si="19"/>
        <v>2014.Accommodation - Bed Spaces.Serviced Accommodation 4</v>
      </c>
      <c r="D703" s="530" t="s">
        <v>231</v>
      </c>
      <c r="E703" s="530" t="s">
        <v>164</v>
      </c>
      <c r="F703" s="530" t="s">
        <v>154</v>
      </c>
      <c r="G703" s="530" t="s">
        <v>223</v>
      </c>
      <c r="H703" s="530"/>
      <c r="I703" s="530"/>
      <c r="J703" s="530"/>
      <c r="K703" s="530"/>
      <c r="L703" s="530"/>
      <c r="M703" s="530"/>
      <c r="N703" s="530"/>
      <c r="O703" s="530"/>
      <c r="P703" s="530"/>
      <c r="Q703" s="530"/>
      <c r="R703" s="530"/>
      <c r="S703" s="530"/>
      <c r="T703" s="530" t="s">
        <v>223</v>
      </c>
      <c r="U703" s="530" t="s">
        <v>58</v>
      </c>
    </row>
    <row r="704" spans="1:21" ht="13.8" x14ac:dyDescent="0.3">
      <c r="A704" s="530" t="str">
        <f t="shared" si="18"/>
        <v>North Wales.2014.Accommodation - Bed Spaces.Serviced Accommodation 5</v>
      </c>
      <c r="B704" s="530" t="s">
        <v>220</v>
      </c>
      <c r="C704" s="530" t="str">
        <f t="shared" si="19"/>
        <v>2014.Accommodation - Bed Spaces.Serviced Accommodation 5</v>
      </c>
      <c r="D704" s="530" t="s">
        <v>231</v>
      </c>
      <c r="E704" s="530" t="s">
        <v>164</v>
      </c>
      <c r="F704" s="530" t="s">
        <v>155</v>
      </c>
      <c r="G704" s="530" t="s">
        <v>223</v>
      </c>
      <c r="H704" s="530"/>
      <c r="I704" s="530"/>
      <c r="J704" s="530"/>
      <c r="K704" s="530"/>
      <c r="L704" s="530"/>
      <c r="M704" s="530"/>
      <c r="N704" s="530"/>
      <c r="O704" s="530"/>
      <c r="P704" s="530"/>
      <c r="Q704" s="530"/>
      <c r="R704" s="530"/>
      <c r="S704" s="530"/>
      <c r="T704" s="530" t="s">
        <v>223</v>
      </c>
      <c r="U704" s="530" t="s">
        <v>58</v>
      </c>
    </row>
    <row r="705" spans="1:21" ht="13.8" x14ac:dyDescent="0.3">
      <c r="A705" s="530" t="str">
        <f t="shared" si="18"/>
        <v>North Wales.2014.Accommodation - Bed Spaces.Serviced Accommodation Total</v>
      </c>
      <c r="B705" s="530" t="s">
        <v>220</v>
      </c>
      <c r="C705" s="530" t="str">
        <f t="shared" si="19"/>
        <v>2014.Accommodation - Bed Spaces.Serviced Accommodation Total</v>
      </c>
      <c r="D705" s="530" t="s">
        <v>231</v>
      </c>
      <c r="E705" s="530" t="s">
        <v>164</v>
      </c>
      <c r="F705" s="530" t="s">
        <v>161</v>
      </c>
      <c r="G705" s="530" t="s">
        <v>224</v>
      </c>
      <c r="H705" s="530"/>
      <c r="I705" s="530"/>
      <c r="J705" s="530"/>
      <c r="K705" s="530"/>
      <c r="L705" s="530"/>
      <c r="M705" s="530"/>
      <c r="N705" s="530"/>
      <c r="O705" s="530"/>
      <c r="P705" s="530"/>
      <c r="Q705" s="530"/>
      <c r="R705" s="530"/>
      <c r="S705" s="530"/>
      <c r="T705" s="530">
        <v>0</v>
      </c>
      <c r="U705" s="530" t="s">
        <v>58</v>
      </c>
    </row>
    <row r="706" spans="1:21" ht="13.8" x14ac:dyDescent="0.3">
      <c r="A706" s="530" t="str">
        <f t="shared" si="18"/>
        <v>North Wales.2014.Accommodation - Bed Spaces.Non-Serviced Accommodation 1</v>
      </c>
      <c r="B706" s="530" t="s">
        <v>220</v>
      </c>
      <c r="C706" s="530" t="str">
        <f t="shared" si="19"/>
        <v>2014.Accommodation - Bed Spaces.Non-Serviced Accommodation 1</v>
      </c>
      <c r="D706" s="530" t="s">
        <v>231</v>
      </c>
      <c r="E706" s="530" t="s">
        <v>164</v>
      </c>
      <c r="F706" s="530" t="s">
        <v>156</v>
      </c>
      <c r="G706" s="530" t="s">
        <v>223</v>
      </c>
      <c r="H706" s="530"/>
      <c r="I706" s="530"/>
      <c r="J706" s="530"/>
      <c r="K706" s="530"/>
      <c r="L706" s="530"/>
      <c r="M706" s="530"/>
      <c r="N706" s="530"/>
      <c r="O706" s="530"/>
      <c r="P706" s="530"/>
      <c r="Q706" s="530"/>
      <c r="R706" s="530"/>
      <c r="S706" s="530"/>
      <c r="T706" s="530" t="s">
        <v>223</v>
      </c>
      <c r="U706" s="530" t="s">
        <v>58</v>
      </c>
    </row>
    <row r="707" spans="1:21" ht="13.8" x14ac:dyDescent="0.3">
      <c r="A707" s="530" t="str">
        <f t="shared" si="18"/>
        <v>North Wales.2014.Accommodation - Bed Spaces.Non-Serviced Accommodation 2</v>
      </c>
      <c r="B707" s="530" t="s">
        <v>220</v>
      </c>
      <c r="C707" s="530" t="str">
        <f t="shared" si="19"/>
        <v>2014.Accommodation - Bed Spaces.Non-Serviced Accommodation 2</v>
      </c>
      <c r="D707" s="530" t="s">
        <v>231</v>
      </c>
      <c r="E707" s="530" t="s">
        <v>164</v>
      </c>
      <c r="F707" s="530" t="s">
        <v>157</v>
      </c>
      <c r="G707" s="530" t="s">
        <v>224</v>
      </c>
      <c r="H707" s="530"/>
      <c r="I707" s="530"/>
      <c r="J707" s="530"/>
      <c r="K707" s="530"/>
      <c r="L707" s="530"/>
      <c r="M707" s="530"/>
      <c r="N707" s="530"/>
      <c r="O707" s="530"/>
      <c r="P707" s="530"/>
      <c r="Q707" s="530"/>
      <c r="R707" s="530"/>
      <c r="S707" s="530"/>
      <c r="T707" s="530">
        <v>0</v>
      </c>
      <c r="U707" s="530" t="s">
        <v>58</v>
      </c>
    </row>
    <row r="708" spans="1:21" ht="13.8" x14ac:dyDescent="0.3">
      <c r="A708" s="530" t="str">
        <f t="shared" si="18"/>
        <v>North Wales.2014.Accommodation - Bed Spaces.Non-Serviced Accommodation 3</v>
      </c>
      <c r="B708" s="530" t="s">
        <v>220</v>
      </c>
      <c r="C708" s="530" t="str">
        <f t="shared" si="19"/>
        <v>2014.Accommodation - Bed Spaces.Non-Serviced Accommodation 3</v>
      </c>
      <c r="D708" s="530" t="s">
        <v>231</v>
      </c>
      <c r="E708" s="530" t="s">
        <v>164</v>
      </c>
      <c r="F708" s="530" t="s">
        <v>158</v>
      </c>
      <c r="G708" s="530" t="s">
        <v>223</v>
      </c>
      <c r="H708" s="530"/>
      <c r="I708" s="530"/>
      <c r="J708" s="530"/>
      <c r="K708" s="530"/>
      <c r="L708" s="530"/>
      <c r="M708" s="530"/>
      <c r="N708" s="530"/>
      <c r="O708" s="530"/>
      <c r="P708" s="530"/>
      <c r="Q708" s="530"/>
      <c r="R708" s="530"/>
      <c r="S708" s="530"/>
      <c r="T708" s="530" t="s">
        <v>223</v>
      </c>
      <c r="U708" s="530" t="s">
        <v>58</v>
      </c>
    </row>
    <row r="709" spans="1:21" ht="13.8" x14ac:dyDescent="0.3">
      <c r="A709" s="530" t="str">
        <f t="shared" si="18"/>
        <v>North Wales.2014.Accommodation - Bed Spaces.Non-Serviced Accommodation 4</v>
      </c>
      <c r="B709" s="530" t="s">
        <v>220</v>
      </c>
      <c r="C709" s="530" t="str">
        <f t="shared" si="19"/>
        <v>2014.Accommodation - Bed Spaces.Non-Serviced Accommodation 4</v>
      </c>
      <c r="D709" s="530" t="s">
        <v>231</v>
      </c>
      <c r="E709" s="530" t="s">
        <v>164</v>
      </c>
      <c r="F709" s="530" t="s">
        <v>159</v>
      </c>
      <c r="G709" s="530" t="s">
        <v>222</v>
      </c>
      <c r="H709" s="530"/>
      <c r="I709" s="530"/>
      <c r="J709" s="530"/>
      <c r="K709" s="530"/>
      <c r="L709" s="530"/>
      <c r="M709" s="530"/>
      <c r="N709" s="530"/>
      <c r="O709" s="530"/>
      <c r="P709" s="530"/>
      <c r="Q709" s="530"/>
      <c r="R709" s="530"/>
      <c r="S709" s="530"/>
      <c r="T709" s="530">
        <v>0</v>
      </c>
      <c r="U709" s="530" t="s">
        <v>58</v>
      </c>
    </row>
    <row r="710" spans="1:21" ht="13.8" x14ac:dyDescent="0.3">
      <c r="A710" s="530" t="str">
        <f t="shared" si="18"/>
        <v>North Wales.2014.Accommodation - Bed Spaces.Non-Serviced Accommodation 5</v>
      </c>
      <c r="B710" s="530" t="s">
        <v>220</v>
      </c>
      <c r="C710" s="530" t="str">
        <f t="shared" si="19"/>
        <v>2014.Accommodation - Bed Spaces.Non-Serviced Accommodation 5</v>
      </c>
      <c r="D710" s="530" t="s">
        <v>231</v>
      </c>
      <c r="E710" s="530" t="s">
        <v>164</v>
      </c>
      <c r="F710" s="530" t="s">
        <v>160</v>
      </c>
      <c r="G710" s="530" t="s">
        <v>223</v>
      </c>
      <c r="H710" s="530"/>
      <c r="I710" s="530"/>
      <c r="J710" s="530"/>
      <c r="K710" s="530"/>
      <c r="L710" s="530"/>
      <c r="M710" s="530"/>
      <c r="N710" s="530"/>
      <c r="O710" s="530"/>
      <c r="P710" s="530"/>
      <c r="Q710" s="530"/>
      <c r="R710" s="530"/>
      <c r="S710" s="530"/>
      <c r="T710" s="530" t="s">
        <v>223</v>
      </c>
      <c r="U710" s="530" t="s">
        <v>58</v>
      </c>
    </row>
    <row r="711" spans="1:21" ht="13.8" x14ac:dyDescent="0.3">
      <c r="A711" s="530" t="str">
        <f t="shared" si="18"/>
        <v>North Wales.2014.Accommodation - Bed Spaces.Non-Serviced Accommodation Total</v>
      </c>
      <c r="B711" s="530" t="s">
        <v>220</v>
      </c>
      <c r="C711" s="530" t="str">
        <f t="shared" si="19"/>
        <v>2014.Accommodation - Bed Spaces.Non-Serviced Accommodation Total</v>
      </c>
      <c r="D711" s="530" t="s">
        <v>231</v>
      </c>
      <c r="E711" s="530" t="s">
        <v>164</v>
      </c>
      <c r="F711" s="530" t="s">
        <v>162</v>
      </c>
      <c r="G711" s="530" t="s">
        <v>223</v>
      </c>
      <c r="H711" s="530"/>
      <c r="I711" s="530"/>
      <c r="J711" s="530"/>
      <c r="K711" s="530"/>
      <c r="L711" s="530"/>
      <c r="M711" s="530"/>
      <c r="N711" s="530"/>
      <c r="O711" s="530"/>
      <c r="P711" s="530"/>
      <c r="Q711" s="530"/>
      <c r="R711" s="530"/>
      <c r="S711" s="530"/>
      <c r="T711" s="530" t="s">
        <v>223</v>
      </c>
      <c r="U711" s="530" t="s">
        <v>58</v>
      </c>
    </row>
    <row r="712" spans="1:21" ht="13.8" x14ac:dyDescent="0.3">
      <c r="A712" s="530" t="str">
        <f t="shared" si="18"/>
        <v>North Wales.2014.Accommodation - Bed Spaces.All Accommodation Types</v>
      </c>
      <c r="B712" s="530" t="s">
        <v>220</v>
      </c>
      <c r="C712" s="530" t="str">
        <f t="shared" si="19"/>
        <v>2014.Accommodation - Bed Spaces.All Accommodation Types</v>
      </c>
      <c r="D712" s="530" t="s">
        <v>231</v>
      </c>
      <c r="E712" s="530" t="s">
        <v>164</v>
      </c>
      <c r="F712" s="530" t="s">
        <v>163</v>
      </c>
      <c r="G712" s="530" t="s">
        <v>223</v>
      </c>
      <c r="H712" s="530"/>
      <c r="I712" s="530"/>
      <c r="J712" s="530"/>
      <c r="K712" s="530"/>
      <c r="L712" s="530"/>
      <c r="M712" s="530"/>
      <c r="N712" s="530"/>
      <c r="O712" s="530"/>
      <c r="P712" s="530"/>
      <c r="Q712" s="530"/>
      <c r="R712" s="530"/>
      <c r="S712" s="530"/>
      <c r="T712" s="530" t="s">
        <v>223</v>
      </c>
      <c r="U712" s="530" t="s">
        <v>58</v>
      </c>
    </row>
    <row r="713" spans="1:21" ht="13.8" x14ac:dyDescent="0.3">
      <c r="A713" s="530" t="str">
        <f t="shared" ref="A713:A816" si="20">B713&amp;"."&amp;D713&amp;"."&amp;E713&amp;"."&amp;F713</f>
        <v>North Wales.2015.Accommodation - Establishments.Serviced Accommodation 1</v>
      </c>
      <c r="B713" s="530" t="s">
        <v>220</v>
      </c>
      <c r="C713" s="530" t="str">
        <f t="shared" ref="C713:C816" si="21">D713&amp;"."&amp;E713&amp;"."&amp;F713</f>
        <v>2015.Accommodation - Establishments.Serviced Accommodation 1</v>
      </c>
      <c r="D713" s="530" t="s">
        <v>232</v>
      </c>
      <c r="E713" s="530" t="s">
        <v>150</v>
      </c>
      <c r="F713" s="530" t="s">
        <v>151</v>
      </c>
      <c r="G713" s="530" t="s">
        <v>221</v>
      </c>
      <c r="H713" s="530"/>
      <c r="I713" s="530"/>
      <c r="J713" s="530"/>
      <c r="K713" s="530"/>
      <c r="L713" s="530"/>
      <c r="M713" s="530"/>
      <c r="N713" s="530"/>
      <c r="O713" s="530"/>
      <c r="P713" s="530"/>
      <c r="Q713" s="530"/>
      <c r="R713" s="530"/>
      <c r="S713" s="530"/>
      <c r="T713" s="530" t="s">
        <v>225</v>
      </c>
      <c r="U713" s="530" t="s">
        <v>149</v>
      </c>
    </row>
    <row r="714" spans="1:21" ht="13.8" x14ac:dyDescent="0.3">
      <c r="A714" s="530" t="str">
        <f t="shared" si="20"/>
        <v>North Wales.2015.Accommodation - Establishments.Serviced Accommodation 2</v>
      </c>
      <c r="B714" s="530" t="s">
        <v>220</v>
      </c>
      <c r="C714" s="530" t="str">
        <f t="shared" si="21"/>
        <v>2015.Accommodation - Establishments.Serviced Accommodation 2</v>
      </c>
      <c r="D714" s="530" t="s">
        <v>232</v>
      </c>
      <c r="E714" s="530" t="s">
        <v>150</v>
      </c>
      <c r="F714" s="530" t="s">
        <v>152</v>
      </c>
      <c r="G714" s="530" t="s">
        <v>222</v>
      </c>
      <c r="H714" s="530"/>
      <c r="I714" s="530"/>
      <c r="J714" s="530"/>
      <c r="K714" s="530"/>
      <c r="L714" s="530"/>
      <c r="M714" s="530"/>
      <c r="N714" s="530"/>
      <c r="O714" s="530"/>
      <c r="P714" s="530"/>
      <c r="Q714" s="530"/>
      <c r="R714" s="530"/>
      <c r="S714" s="530"/>
      <c r="T714" s="530" t="s">
        <v>226</v>
      </c>
      <c r="U714" s="530" t="s">
        <v>149</v>
      </c>
    </row>
    <row r="715" spans="1:21" ht="13.8" x14ac:dyDescent="0.3">
      <c r="A715" s="530" t="str">
        <f t="shared" si="20"/>
        <v>North Wales.2015.Accommodation - Establishments.Serviced Accommodation 3</v>
      </c>
      <c r="B715" s="530" t="s">
        <v>220</v>
      </c>
      <c r="C715" s="530" t="str">
        <f t="shared" si="21"/>
        <v>2015.Accommodation - Establishments.Serviced Accommodation 3</v>
      </c>
      <c r="D715" s="530" t="s">
        <v>232</v>
      </c>
      <c r="E715" s="530" t="s">
        <v>150</v>
      </c>
      <c r="F715" s="530" t="s">
        <v>153</v>
      </c>
      <c r="G715" s="530" t="s">
        <v>223</v>
      </c>
      <c r="H715" s="530"/>
      <c r="I715" s="530"/>
      <c r="J715" s="530"/>
      <c r="K715" s="530"/>
      <c r="L715" s="530"/>
      <c r="M715" s="530"/>
      <c r="N715" s="530"/>
      <c r="O715" s="530"/>
      <c r="P715" s="530"/>
      <c r="Q715" s="530"/>
      <c r="R715" s="530"/>
      <c r="S715" s="530"/>
      <c r="T715" s="530" t="s">
        <v>223</v>
      </c>
      <c r="U715" s="530" t="s">
        <v>149</v>
      </c>
    </row>
    <row r="716" spans="1:21" ht="13.8" x14ac:dyDescent="0.3">
      <c r="A716" s="530" t="str">
        <f t="shared" si="20"/>
        <v>North Wales.2015.Accommodation - Establishments.Serviced Accommodation 4</v>
      </c>
      <c r="B716" s="530" t="s">
        <v>220</v>
      </c>
      <c r="C716" s="530" t="str">
        <f t="shared" si="21"/>
        <v>2015.Accommodation - Establishments.Serviced Accommodation 4</v>
      </c>
      <c r="D716" s="530" t="s">
        <v>232</v>
      </c>
      <c r="E716" s="530" t="s">
        <v>150</v>
      </c>
      <c r="F716" s="530" t="s">
        <v>154</v>
      </c>
      <c r="G716" s="530" t="s">
        <v>223</v>
      </c>
      <c r="H716" s="530"/>
      <c r="I716" s="530"/>
      <c r="J716" s="530"/>
      <c r="K716" s="530"/>
      <c r="L716" s="530"/>
      <c r="M716" s="530"/>
      <c r="N716" s="530"/>
      <c r="O716" s="530"/>
      <c r="P716" s="530"/>
      <c r="Q716" s="530"/>
      <c r="R716" s="530"/>
      <c r="S716" s="530"/>
      <c r="T716" s="530" t="s">
        <v>223</v>
      </c>
      <c r="U716" s="530" t="s">
        <v>149</v>
      </c>
    </row>
    <row r="717" spans="1:21" ht="13.8" x14ac:dyDescent="0.3">
      <c r="A717" s="530" t="str">
        <f t="shared" si="20"/>
        <v>North Wales.2015.Accommodation - Establishments.Serviced Accommodation 5</v>
      </c>
      <c r="B717" s="530" t="s">
        <v>220</v>
      </c>
      <c r="C717" s="530" t="str">
        <f t="shared" si="21"/>
        <v>2015.Accommodation - Establishments.Serviced Accommodation 5</v>
      </c>
      <c r="D717" s="530" t="s">
        <v>232</v>
      </c>
      <c r="E717" s="530" t="s">
        <v>150</v>
      </c>
      <c r="F717" s="530" t="s">
        <v>155</v>
      </c>
      <c r="G717" s="530" t="s">
        <v>223</v>
      </c>
      <c r="H717" s="530"/>
      <c r="I717" s="530"/>
      <c r="J717" s="530"/>
      <c r="K717" s="530"/>
      <c r="L717" s="530"/>
      <c r="M717" s="530"/>
      <c r="N717" s="530"/>
      <c r="O717" s="530"/>
      <c r="P717" s="530"/>
      <c r="Q717" s="530"/>
      <c r="R717" s="530"/>
      <c r="S717" s="530"/>
      <c r="T717" s="530" t="s">
        <v>223</v>
      </c>
      <c r="U717" s="530" t="s">
        <v>149</v>
      </c>
    </row>
    <row r="718" spans="1:21" ht="15" customHeight="1" x14ac:dyDescent="0.3">
      <c r="A718" s="530" t="str">
        <f t="shared" si="20"/>
        <v>North Wales.2015.Accommodation - Establishments.Serviced Accommodation Total</v>
      </c>
      <c r="B718" s="530" t="s">
        <v>220</v>
      </c>
      <c r="C718" s="530" t="str">
        <f t="shared" si="21"/>
        <v>2015.Accommodation - Establishments.Serviced Accommodation Total</v>
      </c>
      <c r="D718" s="530" t="s">
        <v>232</v>
      </c>
      <c r="E718" s="530" t="s">
        <v>150</v>
      </c>
      <c r="F718" s="530" t="s">
        <v>161</v>
      </c>
      <c r="G718" s="530" t="s">
        <v>224</v>
      </c>
      <c r="H718" s="530"/>
      <c r="I718" s="530"/>
      <c r="J718" s="530"/>
      <c r="K718" s="530"/>
      <c r="L718" s="530"/>
      <c r="M718" s="530"/>
      <c r="N718" s="530"/>
      <c r="O718" s="530"/>
      <c r="P718" s="530"/>
      <c r="Q718" s="530"/>
      <c r="R718" s="530"/>
      <c r="S718" s="530"/>
      <c r="T718" s="530" t="s">
        <v>227</v>
      </c>
      <c r="U718" s="530" t="s">
        <v>149</v>
      </c>
    </row>
    <row r="719" spans="1:21" ht="15" customHeight="1" x14ac:dyDescent="0.3">
      <c r="A719" s="530" t="str">
        <f t="shared" si="20"/>
        <v>North Wales.2015.Accommodation - Establishments.Non-Serviced Accommodation 1</v>
      </c>
      <c r="B719" s="530" t="s">
        <v>220</v>
      </c>
      <c r="C719" s="530" t="str">
        <f t="shared" si="21"/>
        <v>2015.Accommodation - Establishments.Non-Serviced Accommodation 1</v>
      </c>
      <c r="D719" s="530" t="s">
        <v>232</v>
      </c>
      <c r="E719" s="530" t="s">
        <v>150</v>
      </c>
      <c r="F719" s="530" t="s">
        <v>156</v>
      </c>
      <c r="G719" s="530" t="s">
        <v>223</v>
      </c>
      <c r="H719" s="530"/>
      <c r="I719" s="530"/>
      <c r="J719" s="530"/>
      <c r="K719" s="530"/>
      <c r="L719" s="530"/>
      <c r="M719" s="530"/>
      <c r="N719" s="530"/>
      <c r="O719" s="530"/>
      <c r="P719" s="530"/>
      <c r="Q719" s="530"/>
      <c r="R719" s="530"/>
      <c r="S719" s="530"/>
      <c r="T719" s="530" t="s">
        <v>223</v>
      </c>
      <c r="U719" s="530" t="s">
        <v>149</v>
      </c>
    </row>
    <row r="720" spans="1:21" ht="15" customHeight="1" x14ac:dyDescent="0.3">
      <c r="A720" s="530" t="str">
        <f t="shared" si="20"/>
        <v>North Wales.2015.Accommodation - Establishments.Non-Serviced Accommodation 2</v>
      </c>
      <c r="B720" s="530" t="s">
        <v>220</v>
      </c>
      <c r="C720" s="530" t="str">
        <f t="shared" si="21"/>
        <v>2015.Accommodation - Establishments.Non-Serviced Accommodation 2</v>
      </c>
      <c r="D720" s="530" t="s">
        <v>232</v>
      </c>
      <c r="E720" s="530" t="s">
        <v>150</v>
      </c>
      <c r="F720" s="530" t="s">
        <v>157</v>
      </c>
      <c r="G720" s="530" t="s">
        <v>224</v>
      </c>
      <c r="H720" s="530"/>
      <c r="I720" s="530"/>
      <c r="J720" s="530"/>
      <c r="K720" s="530"/>
      <c r="L720" s="530"/>
      <c r="M720" s="530"/>
      <c r="N720" s="530"/>
      <c r="O720" s="530"/>
      <c r="P720" s="530"/>
      <c r="Q720" s="530"/>
      <c r="R720" s="530"/>
      <c r="S720" s="530"/>
      <c r="T720" s="530" t="s">
        <v>228</v>
      </c>
      <c r="U720" s="530" t="s">
        <v>149</v>
      </c>
    </row>
    <row r="721" spans="1:21" ht="15" customHeight="1" x14ac:dyDescent="0.3">
      <c r="A721" s="530" t="str">
        <f t="shared" si="20"/>
        <v>North Wales.2015.Accommodation - Establishments.Non-Serviced Accommodation 3</v>
      </c>
      <c r="B721" s="530" t="s">
        <v>220</v>
      </c>
      <c r="C721" s="530" t="str">
        <f t="shared" si="21"/>
        <v>2015.Accommodation - Establishments.Non-Serviced Accommodation 3</v>
      </c>
      <c r="D721" s="530" t="s">
        <v>232</v>
      </c>
      <c r="E721" s="530" t="s">
        <v>150</v>
      </c>
      <c r="F721" s="530" t="s">
        <v>158</v>
      </c>
      <c r="G721" s="530" t="s">
        <v>223</v>
      </c>
      <c r="H721" s="530"/>
      <c r="I721" s="530"/>
      <c r="J721" s="530"/>
      <c r="K721" s="530"/>
      <c r="L721" s="530"/>
      <c r="M721" s="530"/>
      <c r="N721" s="530"/>
      <c r="O721" s="530"/>
      <c r="P721" s="530"/>
      <c r="Q721" s="530"/>
      <c r="R721" s="530"/>
      <c r="S721" s="530"/>
      <c r="T721" s="530" t="s">
        <v>223</v>
      </c>
      <c r="U721" s="530" t="s">
        <v>149</v>
      </c>
    </row>
    <row r="722" spans="1:21" ht="15" customHeight="1" x14ac:dyDescent="0.3">
      <c r="A722" s="530" t="str">
        <f t="shared" si="20"/>
        <v>North Wales.2015.Accommodation - Establishments.Non-Serviced Accommodation 4</v>
      </c>
      <c r="B722" s="530" t="s">
        <v>220</v>
      </c>
      <c r="C722" s="530" t="str">
        <f t="shared" si="21"/>
        <v>2015.Accommodation - Establishments.Non-Serviced Accommodation 4</v>
      </c>
      <c r="D722" s="530" t="s">
        <v>232</v>
      </c>
      <c r="E722" s="530" t="s">
        <v>150</v>
      </c>
      <c r="F722" s="530" t="s">
        <v>159</v>
      </c>
      <c r="G722" s="530" t="s">
        <v>222</v>
      </c>
      <c r="H722" s="530"/>
      <c r="I722" s="530"/>
      <c r="J722" s="530"/>
      <c r="K722" s="530"/>
      <c r="L722" s="530"/>
      <c r="M722" s="530"/>
      <c r="N722" s="530"/>
      <c r="O722" s="530"/>
      <c r="P722" s="530"/>
      <c r="Q722" s="530"/>
      <c r="R722" s="530"/>
      <c r="S722" s="530"/>
      <c r="T722" s="530" t="s">
        <v>226</v>
      </c>
      <c r="U722" s="530" t="s">
        <v>149</v>
      </c>
    </row>
    <row r="723" spans="1:21" ht="15" customHeight="1" x14ac:dyDescent="0.3">
      <c r="A723" s="530" t="str">
        <f t="shared" si="20"/>
        <v>North Wales.2015.Accommodation - Establishments.Non-Serviced Accommodation 5</v>
      </c>
      <c r="B723" s="530" t="s">
        <v>220</v>
      </c>
      <c r="C723" s="530" t="str">
        <f t="shared" si="21"/>
        <v>2015.Accommodation - Establishments.Non-Serviced Accommodation 5</v>
      </c>
      <c r="D723" s="530" t="s">
        <v>232</v>
      </c>
      <c r="E723" s="530" t="s">
        <v>150</v>
      </c>
      <c r="F723" s="530" t="s">
        <v>160</v>
      </c>
      <c r="G723" s="530" t="s">
        <v>223</v>
      </c>
      <c r="H723" s="530"/>
      <c r="I723" s="530"/>
      <c r="J723" s="530"/>
      <c r="K723" s="530"/>
      <c r="L723" s="530"/>
      <c r="M723" s="530"/>
      <c r="N723" s="530"/>
      <c r="O723" s="530"/>
      <c r="P723" s="530"/>
      <c r="Q723" s="530"/>
      <c r="R723" s="530"/>
      <c r="S723" s="530"/>
      <c r="T723" s="530" t="s">
        <v>223</v>
      </c>
      <c r="U723" s="530" t="s">
        <v>149</v>
      </c>
    </row>
    <row r="724" spans="1:21" ht="15" customHeight="1" x14ac:dyDescent="0.3">
      <c r="A724" s="530" t="str">
        <f t="shared" si="20"/>
        <v>North Wales.2015.Accommodation - Establishments.Non-Serviced Accommodation Total</v>
      </c>
      <c r="B724" s="530" t="s">
        <v>220</v>
      </c>
      <c r="C724" s="530" t="str">
        <f t="shared" si="21"/>
        <v>2015.Accommodation - Establishments.Non-Serviced Accommodation Total</v>
      </c>
      <c r="D724" s="530" t="s">
        <v>232</v>
      </c>
      <c r="E724" s="530" t="s">
        <v>150</v>
      </c>
      <c r="F724" s="530" t="s">
        <v>162</v>
      </c>
      <c r="G724" s="530" t="s">
        <v>223</v>
      </c>
      <c r="H724" s="530"/>
      <c r="I724" s="530"/>
      <c r="J724" s="530"/>
      <c r="K724" s="530"/>
      <c r="L724" s="530"/>
      <c r="M724" s="530"/>
      <c r="N724" s="530"/>
      <c r="O724" s="530"/>
      <c r="P724" s="530"/>
      <c r="Q724" s="530"/>
      <c r="R724" s="530"/>
      <c r="S724" s="530"/>
      <c r="T724" s="530" t="s">
        <v>223</v>
      </c>
      <c r="U724" s="530" t="s">
        <v>149</v>
      </c>
    </row>
    <row r="725" spans="1:21" ht="15" customHeight="1" x14ac:dyDescent="0.3">
      <c r="A725" s="530" t="str">
        <f t="shared" si="20"/>
        <v>North Wales.2015.Accommodation - Establishments.All Accommodation Types</v>
      </c>
      <c r="B725" s="530" t="s">
        <v>220</v>
      </c>
      <c r="C725" s="530" t="str">
        <f t="shared" si="21"/>
        <v>2015.Accommodation - Establishments.All Accommodation Types</v>
      </c>
      <c r="D725" s="530" t="s">
        <v>232</v>
      </c>
      <c r="E725" s="530" t="s">
        <v>150</v>
      </c>
      <c r="F725" s="530" t="s">
        <v>163</v>
      </c>
      <c r="G725" s="530" t="s">
        <v>223</v>
      </c>
      <c r="H725" s="530"/>
      <c r="I725" s="530"/>
      <c r="J725" s="530"/>
      <c r="K725" s="530"/>
      <c r="L725" s="530"/>
      <c r="M725" s="530"/>
      <c r="N725" s="530"/>
      <c r="O725" s="530"/>
      <c r="P725" s="530"/>
      <c r="Q725" s="530"/>
      <c r="R725" s="530"/>
      <c r="S725" s="530"/>
      <c r="T725" s="530" t="s">
        <v>223</v>
      </c>
      <c r="U725" s="530" t="s">
        <v>149</v>
      </c>
    </row>
    <row r="726" spans="1:21" ht="13.8" x14ac:dyDescent="0.3">
      <c r="A726" s="530" t="str">
        <f t="shared" si="20"/>
        <v>North Wales.2015.Accommodation - Bed Spaces.Serviced Accommodation 1</v>
      </c>
      <c r="B726" s="530" t="s">
        <v>220</v>
      </c>
      <c r="C726" s="530" t="str">
        <f t="shared" si="21"/>
        <v>2015.Accommodation - Bed Spaces.Serviced Accommodation 1</v>
      </c>
      <c r="D726" s="530" t="s">
        <v>232</v>
      </c>
      <c r="E726" s="530" t="s">
        <v>164</v>
      </c>
      <c r="F726" s="530" t="s">
        <v>151</v>
      </c>
      <c r="G726" s="530" t="s">
        <v>221</v>
      </c>
      <c r="H726" s="530"/>
      <c r="I726" s="530"/>
      <c r="J726" s="530"/>
      <c r="K726" s="530"/>
      <c r="L726" s="530"/>
      <c r="M726" s="530"/>
      <c r="N726" s="530"/>
      <c r="O726" s="530"/>
      <c r="P726" s="530"/>
      <c r="Q726" s="530"/>
      <c r="R726" s="530"/>
      <c r="S726" s="530"/>
      <c r="T726" s="530">
        <v>0</v>
      </c>
      <c r="U726" s="530" t="s">
        <v>58</v>
      </c>
    </row>
    <row r="727" spans="1:21" ht="13.8" x14ac:dyDescent="0.3">
      <c r="A727" s="530" t="str">
        <f t="shared" si="20"/>
        <v>North Wales.2015.Accommodation - Bed Spaces.Serviced Accommodation 2</v>
      </c>
      <c r="B727" s="530" t="s">
        <v>220</v>
      </c>
      <c r="C727" s="530" t="str">
        <f t="shared" si="21"/>
        <v>2015.Accommodation - Bed Spaces.Serviced Accommodation 2</v>
      </c>
      <c r="D727" s="530" t="s">
        <v>232</v>
      </c>
      <c r="E727" s="530" t="s">
        <v>164</v>
      </c>
      <c r="F727" s="530" t="s">
        <v>152</v>
      </c>
      <c r="G727" s="530" t="s">
        <v>222</v>
      </c>
      <c r="H727" s="530"/>
      <c r="I727" s="530"/>
      <c r="J727" s="530"/>
      <c r="K727" s="530"/>
      <c r="L727" s="530"/>
      <c r="M727" s="530"/>
      <c r="N727" s="530"/>
      <c r="O727" s="530"/>
      <c r="P727" s="530"/>
      <c r="Q727" s="530"/>
      <c r="R727" s="530"/>
      <c r="S727" s="530"/>
      <c r="T727" s="530">
        <v>0</v>
      </c>
      <c r="U727" s="530" t="s">
        <v>58</v>
      </c>
    </row>
    <row r="728" spans="1:21" ht="13.8" x14ac:dyDescent="0.3">
      <c r="A728" s="530" t="str">
        <f t="shared" si="20"/>
        <v>North Wales.2015.Accommodation - Bed Spaces.Serviced Accommodation 3</v>
      </c>
      <c r="B728" s="530" t="s">
        <v>220</v>
      </c>
      <c r="C728" s="530" t="str">
        <f t="shared" si="21"/>
        <v>2015.Accommodation - Bed Spaces.Serviced Accommodation 3</v>
      </c>
      <c r="D728" s="530" t="s">
        <v>232</v>
      </c>
      <c r="E728" s="530" t="s">
        <v>164</v>
      </c>
      <c r="F728" s="530" t="s">
        <v>153</v>
      </c>
      <c r="G728" s="530" t="s">
        <v>223</v>
      </c>
      <c r="H728" s="530"/>
      <c r="I728" s="530"/>
      <c r="J728" s="530"/>
      <c r="K728" s="530"/>
      <c r="L728" s="530"/>
      <c r="M728" s="530"/>
      <c r="N728" s="530"/>
      <c r="O728" s="530"/>
      <c r="P728" s="530"/>
      <c r="Q728" s="530"/>
      <c r="R728" s="530"/>
      <c r="S728" s="530"/>
      <c r="T728" s="530" t="s">
        <v>223</v>
      </c>
      <c r="U728" s="530" t="s">
        <v>58</v>
      </c>
    </row>
    <row r="729" spans="1:21" ht="13.8" x14ac:dyDescent="0.3">
      <c r="A729" s="530" t="str">
        <f t="shared" si="20"/>
        <v>North Wales.2015.Accommodation - Bed Spaces.Serviced Accommodation 4</v>
      </c>
      <c r="B729" s="530" t="s">
        <v>220</v>
      </c>
      <c r="C729" s="530" t="str">
        <f t="shared" si="21"/>
        <v>2015.Accommodation - Bed Spaces.Serviced Accommodation 4</v>
      </c>
      <c r="D729" s="530" t="s">
        <v>232</v>
      </c>
      <c r="E729" s="530" t="s">
        <v>164</v>
      </c>
      <c r="F729" s="530" t="s">
        <v>154</v>
      </c>
      <c r="G729" s="530" t="s">
        <v>223</v>
      </c>
      <c r="H729" s="530"/>
      <c r="I729" s="530"/>
      <c r="J729" s="530"/>
      <c r="K729" s="530"/>
      <c r="L729" s="530"/>
      <c r="M729" s="530"/>
      <c r="N729" s="530"/>
      <c r="O729" s="530"/>
      <c r="P729" s="530"/>
      <c r="Q729" s="530"/>
      <c r="R729" s="530"/>
      <c r="S729" s="530"/>
      <c r="T729" s="530" t="s">
        <v>223</v>
      </c>
      <c r="U729" s="530" t="s">
        <v>58</v>
      </c>
    </row>
    <row r="730" spans="1:21" ht="13.8" x14ac:dyDescent="0.3">
      <c r="A730" s="530" t="str">
        <f t="shared" si="20"/>
        <v>North Wales.2015.Accommodation - Bed Spaces.Serviced Accommodation 5</v>
      </c>
      <c r="B730" s="530" t="s">
        <v>220</v>
      </c>
      <c r="C730" s="530" t="str">
        <f t="shared" si="21"/>
        <v>2015.Accommodation - Bed Spaces.Serviced Accommodation 5</v>
      </c>
      <c r="D730" s="530" t="s">
        <v>232</v>
      </c>
      <c r="E730" s="530" t="s">
        <v>164</v>
      </c>
      <c r="F730" s="530" t="s">
        <v>155</v>
      </c>
      <c r="G730" s="530" t="s">
        <v>223</v>
      </c>
      <c r="H730" s="530"/>
      <c r="I730" s="530"/>
      <c r="J730" s="530"/>
      <c r="K730" s="530"/>
      <c r="L730" s="530"/>
      <c r="M730" s="530"/>
      <c r="N730" s="530"/>
      <c r="O730" s="530"/>
      <c r="P730" s="530"/>
      <c r="Q730" s="530"/>
      <c r="R730" s="530"/>
      <c r="S730" s="530"/>
      <c r="T730" s="530" t="s">
        <v>223</v>
      </c>
      <c r="U730" s="530" t="s">
        <v>58</v>
      </c>
    </row>
    <row r="731" spans="1:21" ht="13.8" x14ac:dyDescent="0.3">
      <c r="A731" s="530" t="str">
        <f t="shared" si="20"/>
        <v>North Wales.2015.Accommodation - Bed Spaces.Serviced Accommodation Total</v>
      </c>
      <c r="B731" s="530" t="s">
        <v>220</v>
      </c>
      <c r="C731" s="530" t="str">
        <f t="shared" si="21"/>
        <v>2015.Accommodation - Bed Spaces.Serviced Accommodation Total</v>
      </c>
      <c r="D731" s="530" t="s">
        <v>232</v>
      </c>
      <c r="E731" s="530" t="s">
        <v>164</v>
      </c>
      <c r="F731" s="530" t="s">
        <v>161</v>
      </c>
      <c r="G731" s="530" t="s">
        <v>224</v>
      </c>
      <c r="H731" s="530"/>
      <c r="I731" s="530"/>
      <c r="J731" s="530"/>
      <c r="K731" s="530"/>
      <c r="L731" s="530"/>
      <c r="M731" s="530"/>
      <c r="N731" s="530"/>
      <c r="O731" s="530"/>
      <c r="P731" s="530"/>
      <c r="Q731" s="530"/>
      <c r="R731" s="530"/>
      <c r="S731" s="530"/>
      <c r="T731" s="530">
        <v>0</v>
      </c>
      <c r="U731" s="530" t="s">
        <v>58</v>
      </c>
    </row>
    <row r="732" spans="1:21" ht="13.8" x14ac:dyDescent="0.3">
      <c r="A732" s="530" t="str">
        <f t="shared" si="20"/>
        <v>North Wales.2015.Accommodation - Bed Spaces.Non-Serviced Accommodation 1</v>
      </c>
      <c r="B732" s="530" t="s">
        <v>220</v>
      </c>
      <c r="C732" s="530" t="str">
        <f t="shared" si="21"/>
        <v>2015.Accommodation - Bed Spaces.Non-Serviced Accommodation 1</v>
      </c>
      <c r="D732" s="530" t="s">
        <v>232</v>
      </c>
      <c r="E732" s="530" t="s">
        <v>164</v>
      </c>
      <c r="F732" s="530" t="s">
        <v>156</v>
      </c>
      <c r="G732" s="530" t="s">
        <v>223</v>
      </c>
      <c r="H732" s="530"/>
      <c r="I732" s="530"/>
      <c r="J732" s="530"/>
      <c r="K732" s="530"/>
      <c r="L732" s="530"/>
      <c r="M732" s="530"/>
      <c r="N732" s="530"/>
      <c r="O732" s="530"/>
      <c r="P732" s="530"/>
      <c r="Q732" s="530"/>
      <c r="R732" s="530"/>
      <c r="S732" s="530"/>
      <c r="T732" s="530" t="s">
        <v>223</v>
      </c>
      <c r="U732" s="530" t="s">
        <v>58</v>
      </c>
    </row>
    <row r="733" spans="1:21" ht="13.8" x14ac:dyDescent="0.3">
      <c r="A733" s="530" t="str">
        <f t="shared" si="20"/>
        <v>North Wales.2015.Accommodation - Bed Spaces.Non-Serviced Accommodation 2</v>
      </c>
      <c r="B733" s="530" t="s">
        <v>220</v>
      </c>
      <c r="C733" s="530" t="str">
        <f t="shared" si="21"/>
        <v>2015.Accommodation - Bed Spaces.Non-Serviced Accommodation 2</v>
      </c>
      <c r="D733" s="530" t="s">
        <v>232</v>
      </c>
      <c r="E733" s="530" t="s">
        <v>164</v>
      </c>
      <c r="F733" s="530" t="s">
        <v>157</v>
      </c>
      <c r="G733" s="530" t="s">
        <v>224</v>
      </c>
      <c r="H733" s="530"/>
      <c r="I733" s="530"/>
      <c r="J733" s="530"/>
      <c r="K733" s="530"/>
      <c r="L733" s="530"/>
      <c r="M733" s="530"/>
      <c r="N733" s="530"/>
      <c r="O733" s="530"/>
      <c r="P733" s="530"/>
      <c r="Q733" s="530"/>
      <c r="R733" s="530"/>
      <c r="S733" s="530"/>
      <c r="T733" s="530">
        <v>0</v>
      </c>
      <c r="U733" s="530" t="s">
        <v>58</v>
      </c>
    </row>
    <row r="734" spans="1:21" ht="13.8" x14ac:dyDescent="0.3">
      <c r="A734" s="530" t="str">
        <f t="shared" si="20"/>
        <v>North Wales.2015.Accommodation - Bed Spaces.Non-Serviced Accommodation 3</v>
      </c>
      <c r="B734" s="530" t="s">
        <v>220</v>
      </c>
      <c r="C734" s="530" t="str">
        <f t="shared" si="21"/>
        <v>2015.Accommodation - Bed Spaces.Non-Serviced Accommodation 3</v>
      </c>
      <c r="D734" s="530" t="s">
        <v>232</v>
      </c>
      <c r="E734" s="530" t="s">
        <v>164</v>
      </c>
      <c r="F734" s="530" t="s">
        <v>158</v>
      </c>
      <c r="G734" s="530" t="s">
        <v>223</v>
      </c>
      <c r="H734" s="530"/>
      <c r="I734" s="530"/>
      <c r="J734" s="530"/>
      <c r="K734" s="530"/>
      <c r="L734" s="530"/>
      <c r="M734" s="530"/>
      <c r="N734" s="530"/>
      <c r="O734" s="530"/>
      <c r="P734" s="530"/>
      <c r="Q734" s="530"/>
      <c r="R734" s="530"/>
      <c r="S734" s="530"/>
      <c r="T734" s="530" t="s">
        <v>223</v>
      </c>
      <c r="U734" s="530" t="s">
        <v>58</v>
      </c>
    </row>
    <row r="735" spans="1:21" ht="13.8" x14ac:dyDescent="0.3">
      <c r="A735" s="530" t="str">
        <f t="shared" si="20"/>
        <v>North Wales.2015.Accommodation - Bed Spaces.Non-Serviced Accommodation 4</v>
      </c>
      <c r="B735" s="530" t="s">
        <v>220</v>
      </c>
      <c r="C735" s="530" t="str">
        <f t="shared" si="21"/>
        <v>2015.Accommodation - Bed Spaces.Non-Serviced Accommodation 4</v>
      </c>
      <c r="D735" s="530" t="s">
        <v>232</v>
      </c>
      <c r="E735" s="530" t="s">
        <v>164</v>
      </c>
      <c r="F735" s="530" t="s">
        <v>159</v>
      </c>
      <c r="G735" s="530" t="s">
        <v>222</v>
      </c>
      <c r="H735" s="530"/>
      <c r="I735" s="530"/>
      <c r="J735" s="530"/>
      <c r="K735" s="530"/>
      <c r="L735" s="530"/>
      <c r="M735" s="530"/>
      <c r="N735" s="530"/>
      <c r="O735" s="530"/>
      <c r="P735" s="530"/>
      <c r="Q735" s="530"/>
      <c r="R735" s="530"/>
      <c r="S735" s="530"/>
      <c r="T735" s="530">
        <v>0</v>
      </c>
      <c r="U735" s="530" t="s">
        <v>58</v>
      </c>
    </row>
    <row r="736" spans="1:21" ht="13.8" x14ac:dyDescent="0.3">
      <c r="A736" s="530" t="str">
        <f t="shared" si="20"/>
        <v>North Wales.2015.Accommodation - Bed Spaces.Non-Serviced Accommodation 5</v>
      </c>
      <c r="B736" s="530" t="s">
        <v>220</v>
      </c>
      <c r="C736" s="530" t="str">
        <f t="shared" si="21"/>
        <v>2015.Accommodation - Bed Spaces.Non-Serviced Accommodation 5</v>
      </c>
      <c r="D736" s="530" t="s">
        <v>232</v>
      </c>
      <c r="E736" s="530" t="s">
        <v>164</v>
      </c>
      <c r="F736" s="530" t="s">
        <v>160</v>
      </c>
      <c r="G736" s="530" t="s">
        <v>223</v>
      </c>
      <c r="H736" s="530"/>
      <c r="I736" s="530"/>
      <c r="J736" s="530"/>
      <c r="K736" s="530"/>
      <c r="L736" s="530"/>
      <c r="M736" s="530"/>
      <c r="N736" s="530"/>
      <c r="O736" s="530"/>
      <c r="P736" s="530"/>
      <c r="Q736" s="530"/>
      <c r="R736" s="530"/>
      <c r="S736" s="530"/>
      <c r="T736" s="530" t="s">
        <v>223</v>
      </c>
      <c r="U736" s="530" t="s">
        <v>58</v>
      </c>
    </row>
    <row r="737" spans="1:21" ht="13.8" x14ac:dyDescent="0.3">
      <c r="A737" s="530" t="str">
        <f t="shared" si="20"/>
        <v>North Wales.2015.Accommodation - Bed Spaces.Non-Serviced Accommodation Total</v>
      </c>
      <c r="B737" s="530" t="s">
        <v>220</v>
      </c>
      <c r="C737" s="530" t="str">
        <f t="shared" si="21"/>
        <v>2015.Accommodation - Bed Spaces.Non-Serviced Accommodation Total</v>
      </c>
      <c r="D737" s="530" t="s">
        <v>232</v>
      </c>
      <c r="E737" s="530" t="s">
        <v>164</v>
      </c>
      <c r="F737" s="530" t="s">
        <v>162</v>
      </c>
      <c r="G737" s="530" t="s">
        <v>223</v>
      </c>
      <c r="H737" s="530"/>
      <c r="I737" s="530"/>
      <c r="J737" s="530"/>
      <c r="K737" s="530"/>
      <c r="L737" s="530"/>
      <c r="M737" s="530"/>
      <c r="N737" s="530"/>
      <c r="O737" s="530"/>
      <c r="P737" s="530"/>
      <c r="Q737" s="530"/>
      <c r="R737" s="530"/>
      <c r="S737" s="530"/>
      <c r="T737" s="530" t="s">
        <v>223</v>
      </c>
      <c r="U737" s="530" t="s">
        <v>58</v>
      </c>
    </row>
    <row r="738" spans="1:21" ht="13.8" x14ac:dyDescent="0.3">
      <c r="A738" s="530" t="str">
        <f t="shared" si="20"/>
        <v>North Wales.2015.Accommodation - Bed Spaces.All Accommodation Types</v>
      </c>
      <c r="B738" s="530" t="s">
        <v>220</v>
      </c>
      <c r="C738" s="530" t="str">
        <f t="shared" si="21"/>
        <v>2015.Accommodation - Bed Spaces.All Accommodation Types</v>
      </c>
      <c r="D738" s="530" t="s">
        <v>232</v>
      </c>
      <c r="E738" s="530" t="s">
        <v>164</v>
      </c>
      <c r="F738" s="530" t="s">
        <v>163</v>
      </c>
      <c r="G738" s="530" t="s">
        <v>223</v>
      </c>
      <c r="H738" s="530"/>
      <c r="I738" s="530"/>
      <c r="J738" s="530"/>
      <c r="K738" s="530"/>
      <c r="L738" s="530"/>
      <c r="M738" s="530"/>
      <c r="N738" s="530"/>
      <c r="O738" s="530"/>
      <c r="P738" s="530"/>
      <c r="Q738" s="530"/>
      <c r="R738" s="530"/>
      <c r="S738" s="530"/>
      <c r="T738" s="530" t="s">
        <v>223</v>
      </c>
      <c r="U738" s="530" t="s">
        <v>58</v>
      </c>
    </row>
    <row r="739" spans="1:21" ht="13.8" x14ac:dyDescent="0.3">
      <c r="A739" s="530" t="str">
        <f t="shared" si="20"/>
        <v>North Wales.2016.Accommodation - Establishments.Serviced Accommodation 1</v>
      </c>
      <c r="B739" s="530" t="s">
        <v>220</v>
      </c>
      <c r="C739" s="530" t="str">
        <f t="shared" si="21"/>
        <v>2016.Accommodation - Establishments.Serviced Accommodation 1</v>
      </c>
      <c r="D739" s="530" t="s">
        <v>233</v>
      </c>
      <c r="E739" s="530" t="s">
        <v>150</v>
      </c>
      <c r="F739" s="530" t="s">
        <v>151</v>
      </c>
      <c r="G739" s="530" t="s">
        <v>221</v>
      </c>
      <c r="H739" s="530"/>
      <c r="I739" s="530"/>
      <c r="J739" s="530"/>
      <c r="K739" s="530"/>
      <c r="L739" s="530"/>
      <c r="M739" s="530"/>
      <c r="N739" s="530"/>
      <c r="O739" s="530"/>
      <c r="P739" s="530"/>
      <c r="Q739" s="530"/>
      <c r="R739" s="530"/>
      <c r="S739" s="530"/>
      <c r="T739" s="530" t="s">
        <v>225</v>
      </c>
      <c r="U739" s="530" t="s">
        <v>149</v>
      </c>
    </row>
    <row r="740" spans="1:21" ht="13.8" x14ac:dyDescent="0.3">
      <c r="A740" s="530" t="str">
        <f t="shared" si="20"/>
        <v>North Wales.2016.Accommodation - Establishments.Serviced Accommodation 2</v>
      </c>
      <c r="B740" s="530" t="s">
        <v>220</v>
      </c>
      <c r="C740" s="530" t="str">
        <f t="shared" si="21"/>
        <v>2016.Accommodation - Establishments.Serviced Accommodation 2</v>
      </c>
      <c r="D740" s="530" t="s">
        <v>233</v>
      </c>
      <c r="E740" s="530" t="s">
        <v>150</v>
      </c>
      <c r="F740" s="530" t="s">
        <v>152</v>
      </c>
      <c r="G740" s="530" t="s">
        <v>222</v>
      </c>
      <c r="H740" s="530"/>
      <c r="I740" s="530"/>
      <c r="J740" s="530"/>
      <c r="K740" s="530"/>
      <c r="L740" s="530"/>
      <c r="M740" s="530"/>
      <c r="N740" s="530"/>
      <c r="O740" s="530"/>
      <c r="P740" s="530"/>
      <c r="Q740" s="530"/>
      <c r="R740" s="530"/>
      <c r="S740" s="530"/>
      <c r="T740" s="530" t="s">
        <v>226</v>
      </c>
      <c r="U740" s="530" t="s">
        <v>149</v>
      </c>
    </row>
    <row r="741" spans="1:21" ht="13.8" x14ac:dyDescent="0.3">
      <c r="A741" s="530" t="str">
        <f t="shared" si="20"/>
        <v>North Wales.2016.Accommodation - Establishments.Serviced Accommodation 3</v>
      </c>
      <c r="B741" s="530" t="s">
        <v>220</v>
      </c>
      <c r="C741" s="530" t="str">
        <f t="shared" si="21"/>
        <v>2016.Accommodation - Establishments.Serviced Accommodation 3</v>
      </c>
      <c r="D741" s="530" t="s">
        <v>233</v>
      </c>
      <c r="E741" s="530" t="s">
        <v>150</v>
      </c>
      <c r="F741" s="530" t="s">
        <v>153</v>
      </c>
      <c r="G741" s="530" t="s">
        <v>223</v>
      </c>
      <c r="H741" s="530"/>
      <c r="I741" s="530"/>
      <c r="J741" s="530"/>
      <c r="K741" s="530"/>
      <c r="L741" s="530"/>
      <c r="M741" s="530"/>
      <c r="N741" s="530"/>
      <c r="O741" s="530"/>
      <c r="P741" s="530"/>
      <c r="Q741" s="530"/>
      <c r="R741" s="530"/>
      <c r="S741" s="530"/>
      <c r="T741" s="530" t="s">
        <v>223</v>
      </c>
      <c r="U741" s="530" t="s">
        <v>149</v>
      </c>
    </row>
    <row r="742" spans="1:21" ht="13.8" x14ac:dyDescent="0.3">
      <c r="A742" s="530" t="str">
        <f t="shared" si="20"/>
        <v>North Wales.2016.Accommodation - Establishments.Serviced Accommodation 4</v>
      </c>
      <c r="B742" s="530" t="s">
        <v>220</v>
      </c>
      <c r="C742" s="530" t="str">
        <f t="shared" si="21"/>
        <v>2016.Accommodation - Establishments.Serviced Accommodation 4</v>
      </c>
      <c r="D742" s="530" t="s">
        <v>233</v>
      </c>
      <c r="E742" s="530" t="s">
        <v>150</v>
      </c>
      <c r="F742" s="530" t="s">
        <v>154</v>
      </c>
      <c r="G742" s="530" t="s">
        <v>223</v>
      </c>
      <c r="H742" s="530"/>
      <c r="I742" s="530"/>
      <c r="J742" s="530"/>
      <c r="K742" s="530"/>
      <c r="L742" s="530"/>
      <c r="M742" s="530"/>
      <c r="N742" s="530"/>
      <c r="O742" s="530"/>
      <c r="P742" s="530"/>
      <c r="Q742" s="530"/>
      <c r="R742" s="530"/>
      <c r="S742" s="530"/>
      <c r="T742" s="530" t="s">
        <v>223</v>
      </c>
      <c r="U742" s="530" t="s">
        <v>149</v>
      </c>
    </row>
    <row r="743" spans="1:21" ht="13.8" x14ac:dyDescent="0.3">
      <c r="A743" s="530" t="str">
        <f t="shared" si="20"/>
        <v>North Wales.2016.Accommodation - Establishments.Serviced Accommodation 5</v>
      </c>
      <c r="B743" s="530" t="s">
        <v>220</v>
      </c>
      <c r="C743" s="530" t="str">
        <f t="shared" si="21"/>
        <v>2016.Accommodation - Establishments.Serviced Accommodation 5</v>
      </c>
      <c r="D743" s="530" t="s">
        <v>233</v>
      </c>
      <c r="E743" s="530" t="s">
        <v>150</v>
      </c>
      <c r="F743" s="530" t="s">
        <v>155</v>
      </c>
      <c r="G743" s="530" t="s">
        <v>223</v>
      </c>
      <c r="H743" s="530"/>
      <c r="I743" s="530"/>
      <c r="J743" s="530"/>
      <c r="K743" s="530"/>
      <c r="L743" s="530"/>
      <c r="M743" s="530"/>
      <c r="N743" s="530"/>
      <c r="O743" s="530"/>
      <c r="P743" s="530"/>
      <c r="Q743" s="530"/>
      <c r="R743" s="530"/>
      <c r="S743" s="530"/>
      <c r="T743" s="530" t="s">
        <v>223</v>
      </c>
      <c r="U743" s="530" t="s">
        <v>149</v>
      </c>
    </row>
    <row r="744" spans="1:21" ht="15" customHeight="1" x14ac:dyDescent="0.3">
      <c r="A744" s="530" t="str">
        <f t="shared" si="20"/>
        <v>North Wales.2016.Accommodation - Establishments.Serviced Accommodation Total</v>
      </c>
      <c r="B744" s="530" t="s">
        <v>220</v>
      </c>
      <c r="C744" s="530" t="str">
        <f t="shared" si="21"/>
        <v>2016.Accommodation - Establishments.Serviced Accommodation Total</v>
      </c>
      <c r="D744" s="530" t="s">
        <v>233</v>
      </c>
      <c r="E744" s="530" t="s">
        <v>150</v>
      </c>
      <c r="F744" s="530" t="s">
        <v>161</v>
      </c>
      <c r="G744" s="530" t="s">
        <v>224</v>
      </c>
      <c r="H744" s="530"/>
      <c r="I744" s="530"/>
      <c r="J744" s="530"/>
      <c r="K744" s="530"/>
      <c r="L744" s="530"/>
      <c r="M744" s="530"/>
      <c r="N744" s="530"/>
      <c r="O744" s="530"/>
      <c r="P744" s="530"/>
      <c r="Q744" s="530"/>
      <c r="R744" s="530"/>
      <c r="S744" s="530"/>
      <c r="T744" s="530" t="s">
        <v>227</v>
      </c>
      <c r="U744" s="530" t="s">
        <v>149</v>
      </c>
    </row>
    <row r="745" spans="1:21" ht="15" customHeight="1" x14ac:dyDescent="0.3">
      <c r="A745" s="530" t="str">
        <f t="shared" si="20"/>
        <v>North Wales.2016.Accommodation - Establishments.Non-Serviced Accommodation 1</v>
      </c>
      <c r="B745" s="530" t="s">
        <v>220</v>
      </c>
      <c r="C745" s="530" t="str">
        <f t="shared" si="21"/>
        <v>2016.Accommodation - Establishments.Non-Serviced Accommodation 1</v>
      </c>
      <c r="D745" s="530" t="s">
        <v>233</v>
      </c>
      <c r="E745" s="530" t="s">
        <v>150</v>
      </c>
      <c r="F745" s="530" t="s">
        <v>156</v>
      </c>
      <c r="G745" s="530" t="s">
        <v>223</v>
      </c>
      <c r="H745" s="530"/>
      <c r="I745" s="530"/>
      <c r="J745" s="530"/>
      <c r="K745" s="530"/>
      <c r="L745" s="530"/>
      <c r="M745" s="530"/>
      <c r="N745" s="530"/>
      <c r="O745" s="530"/>
      <c r="P745" s="530"/>
      <c r="Q745" s="530"/>
      <c r="R745" s="530"/>
      <c r="S745" s="530"/>
      <c r="T745" s="530" t="s">
        <v>223</v>
      </c>
      <c r="U745" s="530" t="s">
        <v>149</v>
      </c>
    </row>
    <row r="746" spans="1:21" ht="15" customHeight="1" x14ac:dyDescent="0.3">
      <c r="A746" s="530" t="str">
        <f t="shared" si="20"/>
        <v>North Wales.2016.Accommodation - Establishments.Non-Serviced Accommodation 2</v>
      </c>
      <c r="B746" s="530" t="s">
        <v>220</v>
      </c>
      <c r="C746" s="530" t="str">
        <f t="shared" si="21"/>
        <v>2016.Accommodation - Establishments.Non-Serviced Accommodation 2</v>
      </c>
      <c r="D746" s="530" t="s">
        <v>233</v>
      </c>
      <c r="E746" s="530" t="s">
        <v>150</v>
      </c>
      <c r="F746" s="530" t="s">
        <v>157</v>
      </c>
      <c r="G746" s="530" t="s">
        <v>224</v>
      </c>
      <c r="H746" s="530"/>
      <c r="I746" s="530"/>
      <c r="J746" s="530"/>
      <c r="K746" s="530"/>
      <c r="L746" s="530"/>
      <c r="M746" s="530"/>
      <c r="N746" s="530"/>
      <c r="O746" s="530"/>
      <c r="P746" s="530"/>
      <c r="Q746" s="530"/>
      <c r="R746" s="530"/>
      <c r="S746" s="530"/>
      <c r="T746" s="530" t="s">
        <v>228</v>
      </c>
      <c r="U746" s="530" t="s">
        <v>149</v>
      </c>
    </row>
    <row r="747" spans="1:21" ht="15" customHeight="1" x14ac:dyDescent="0.3">
      <c r="A747" s="530" t="str">
        <f t="shared" si="20"/>
        <v>North Wales.2016.Accommodation - Establishments.Non-Serviced Accommodation 3</v>
      </c>
      <c r="B747" s="530" t="s">
        <v>220</v>
      </c>
      <c r="C747" s="530" t="str">
        <f t="shared" si="21"/>
        <v>2016.Accommodation - Establishments.Non-Serviced Accommodation 3</v>
      </c>
      <c r="D747" s="530" t="s">
        <v>233</v>
      </c>
      <c r="E747" s="530" t="s">
        <v>150</v>
      </c>
      <c r="F747" s="530" t="s">
        <v>158</v>
      </c>
      <c r="G747" s="530" t="s">
        <v>223</v>
      </c>
      <c r="H747" s="530"/>
      <c r="I747" s="530"/>
      <c r="J747" s="530"/>
      <c r="K747" s="530"/>
      <c r="L747" s="530"/>
      <c r="M747" s="530"/>
      <c r="N747" s="530"/>
      <c r="O747" s="530"/>
      <c r="P747" s="530"/>
      <c r="Q747" s="530"/>
      <c r="R747" s="530"/>
      <c r="S747" s="530"/>
      <c r="T747" s="530" t="s">
        <v>223</v>
      </c>
      <c r="U747" s="530" t="s">
        <v>149</v>
      </c>
    </row>
    <row r="748" spans="1:21" ht="15" customHeight="1" x14ac:dyDescent="0.3">
      <c r="A748" s="530" t="str">
        <f t="shared" si="20"/>
        <v>North Wales.2016.Accommodation - Establishments.Non-Serviced Accommodation 4</v>
      </c>
      <c r="B748" s="530" t="s">
        <v>220</v>
      </c>
      <c r="C748" s="530" t="str">
        <f t="shared" si="21"/>
        <v>2016.Accommodation - Establishments.Non-Serviced Accommodation 4</v>
      </c>
      <c r="D748" s="530" t="s">
        <v>233</v>
      </c>
      <c r="E748" s="530" t="s">
        <v>150</v>
      </c>
      <c r="F748" s="530" t="s">
        <v>159</v>
      </c>
      <c r="G748" s="530" t="s">
        <v>222</v>
      </c>
      <c r="H748" s="530"/>
      <c r="I748" s="530"/>
      <c r="J748" s="530"/>
      <c r="K748" s="530"/>
      <c r="L748" s="530"/>
      <c r="M748" s="530"/>
      <c r="N748" s="530"/>
      <c r="O748" s="530"/>
      <c r="P748" s="530"/>
      <c r="Q748" s="530"/>
      <c r="R748" s="530"/>
      <c r="S748" s="530"/>
      <c r="T748" s="530" t="s">
        <v>226</v>
      </c>
      <c r="U748" s="530" t="s">
        <v>149</v>
      </c>
    </row>
    <row r="749" spans="1:21" ht="15" customHeight="1" x14ac:dyDescent="0.3">
      <c r="A749" s="530" t="str">
        <f t="shared" si="20"/>
        <v>North Wales.2016.Accommodation - Establishments.Non-Serviced Accommodation 5</v>
      </c>
      <c r="B749" s="530" t="s">
        <v>220</v>
      </c>
      <c r="C749" s="530" t="str">
        <f t="shared" si="21"/>
        <v>2016.Accommodation - Establishments.Non-Serviced Accommodation 5</v>
      </c>
      <c r="D749" s="530" t="s">
        <v>233</v>
      </c>
      <c r="E749" s="530" t="s">
        <v>150</v>
      </c>
      <c r="F749" s="530" t="s">
        <v>160</v>
      </c>
      <c r="G749" s="530" t="s">
        <v>223</v>
      </c>
      <c r="H749" s="530"/>
      <c r="I749" s="530"/>
      <c r="J749" s="530"/>
      <c r="K749" s="530"/>
      <c r="L749" s="530"/>
      <c r="M749" s="530"/>
      <c r="N749" s="530"/>
      <c r="O749" s="530"/>
      <c r="P749" s="530"/>
      <c r="Q749" s="530"/>
      <c r="R749" s="530"/>
      <c r="S749" s="530"/>
      <c r="T749" s="530" t="s">
        <v>223</v>
      </c>
      <c r="U749" s="530" t="s">
        <v>149</v>
      </c>
    </row>
    <row r="750" spans="1:21" ht="15" customHeight="1" x14ac:dyDescent="0.3">
      <c r="A750" s="530" t="str">
        <f t="shared" si="20"/>
        <v>North Wales.2016.Accommodation - Establishments.Non-Serviced Accommodation Total</v>
      </c>
      <c r="B750" s="530" t="s">
        <v>220</v>
      </c>
      <c r="C750" s="530" t="str">
        <f t="shared" si="21"/>
        <v>2016.Accommodation - Establishments.Non-Serviced Accommodation Total</v>
      </c>
      <c r="D750" s="530" t="s">
        <v>233</v>
      </c>
      <c r="E750" s="530" t="s">
        <v>150</v>
      </c>
      <c r="F750" s="530" t="s">
        <v>162</v>
      </c>
      <c r="G750" s="530" t="s">
        <v>223</v>
      </c>
      <c r="H750" s="530"/>
      <c r="I750" s="530"/>
      <c r="J750" s="530"/>
      <c r="K750" s="530"/>
      <c r="L750" s="530"/>
      <c r="M750" s="530"/>
      <c r="N750" s="530"/>
      <c r="O750" s="530"/>
      <c r="P750" s="530"/>
      <c r="Q750" s="530"/>
      <c r="R750" s="530"/>
      <c r="S750" s="530"/>
      <c r="T750" s="530" t="s">
        <v>223</v>
      </c>
      <c r="U750" s="530" t="s">
        <v>149</v>
      </c>
    </row>
    <row r="751" spans="1:21" ht="15" customHeight="1" x14ac:dyDescent="0.3">
      <c r="A751" s="530" t="str">
        <f t="shared" si="20"/>
        <v>North Wales.2016.Accommodation - Establishments.All Accommodation Types</v>
      </c>
      <c r="B751" s="530" t="s">
        <v>220</v>
      </c>
      <c r="C751" s="530" t="str">
        <f t="shared" si="21"/>
        <v>2016.Accommodation - Establishments.All Accommodation Types</v>
      </c>
      <c r="D751" s="530" t="s">
        <v>233</v>
      </c>
      <c r="E751" s="530" t="s">
        <v>150</v>
      </c>
      <c r="F751" s="530" t="s">
        <v>163</v>
      </c>
      <c r="G751" s="530" t="s">
        <v>223</v>
      </c>
      <c r="H751" s="530"/>
      <c r="I751" s="530"/>
      <c r="J751" s="530"/>
      <c r="K751" s="530"/>
      <c r="L751" s="530"/>
      <c r="M751" s="530"/>
      <c r="N751" s="530"/>
      <c r="O751" s="530"/>
      <c r="P751" s="530"/>
      <c r="Q751" s="530"/>
      <c r="R751" s="530"/>
      <c r="S751" s="530"/>
      <c r="T751" s="530" t="s">
        <v>223</v>
      </c>
      <c r="U751" s="530" t="s">
        <v>149</v>
      </c>
    </row>
    <row r="752" spans="1:21" ht="13.8" x14ac:dyDescent="0.3">
      <c r="A752" s="530" t="str">
        <f t="shared" si="20"/>
        <v>North Wales.2016.Accommodation - Bed Spaces.Serviced Accommodation 1</v>
      </c>
      <c r="B752" s="530" t="s">
        <v>220</v>
      </c>
      <c r="C752" s="530" t="str">
        <f t="shared" si="21"/>
        <v>2016.Accommodation - Bed Spaces.Serviced Accommodation 1</v>
      </c>
      <c r="D752" s="530" t="s">
        <v>233</v>
      </c>
      <c r="E752" s="530" t="s">
        <v>164</v>
      </c>
      <c r="F752" s="530" t="s">
        <v>151</v>
      </c>
      <c r="G752" s="530" t="s">
        <v>221</v>
      </c>
      <c r="H752" s="530"/>
      <c r="I752" s="530"/>
      <c r="J752" s="530"/>
      <c r="K752" s="530"/>
      <c r="L752" s="530"/>
      <c r="M752" s="530"/>
      <c r="N752" s="530"/>
      <c r="O752" s="530"/>
      <c r="P752" s="530"/>
      <c r="Q752" s="530"/>
      <c r="R752" s="530"/>
      <c r="S752" s="530"/>
      <c r="T752" s="530">
        <v>0</v>
      </c>
      <c r="U752" s="530" t="s">
        <v>58</v>
      </c>
    </row>
    <row r="753" spans="1:21" ht="13.8" x14ac:dyDescent="0.3">
      <c r="A753" s="530" t="str">
        <f t="shared" si="20"/>
        <v>North Wales.2016.Accommodation - Bed Spaces.Serviced Accommodation 2</v>
      </c>
      <c r="B753" s="530" t="s">
        <v>220</v>
      </c>
      <c r="C753" s="530" t="str">
        <f t="shared" si="21"/>
        <v>2016.Accommodation - Bed Spaces.Serviced Accommodation 2</v>
      </c>
      <c r="D753" s="530" t="s">
        <v>233</v>
      </c>
      <c r="E753" s="530" t="s">
        <v>164</v>
      </c>
      <c r="F753" s="530" t="s">
        <v>152</v>
      </c>
      <c r="G753" s="530" t="s">
        <v>222</v>
      </c>
      <c r="H753" s="530"/>
      <c r="I753" s="530"/>
      <c r="J753" s="530"/>
      <c r="K753" s="530"/>
      <c r="L753" s="530"/>
      <c r="M753" s="530"/>
      <c r="N753" s="530"/>
      <c r="O753" s="530"/>
      <c r="P753" s="530"/>
      <c r="Q753" s="530"/>
      <c r="R753" s="530"/>
      <c r="S753" s="530"/>
      <c r="T753" s="530">
        <v>0</v>
      </c>
      <c r="U753" s="530" t="s">
        <v>58</v>
      </c>
    </row>
    <row r="754" spans="1:21" ht="13.8" x14ac:dyDescent="0.3">
      <c r="A754" s="530" t="str">
        <f t="shared" si="20"/>
        <v>North Wales.2016.Accommodation - Bed Spaces.Serviced Accommodation 3</v>
      </c>
      <c r="B754" s="530" t="s">
        <v>220</v>
      </c>
      <c r="C754" s="530" t="str">
        <f t="shared" si="21"/>
        <v>2016.Accommodation - Bed Spaces.Serviced Accommodation 3</v>
      </c>
      <c r="D754" s="530" t="s">
        <v>233</v>
      </c>
      <c r="E754" s="530" t="s">
        <v>164</v>
      </c>
      <c r="F754" s="530" t="s">
        <v>153</v>
      </c>
      <c r="G754" s="530" t="s">
        <v>223</v>
      </c>
      <c r="H754" s="530"/>
      <c r="I754" s="530"/>
      <c r="J754" s="530"/>
      <c r="K754" s="530"/>
      <c r="L754" s="530"/>
      <c r="M754" s="530"/>
      <c r="N754" s="530"/>
      <c r="O754" s="530"/>
      <c r="P754" s="530"/>
      <c r="Q754" s="530"/>
      <c r="R754" s="530"/>
      <c r="S754" s="530"/>
      <c r="T754" s="530" t="s">
        <v>223</v>
      </c>
      <c r="U754" s="530" t="s">
        <v>58</v>
      </c>
    </row>
    <row r="755" spans="1:21" ht="13.8" x14ac:dyDescent="0.3">
      <c r="A755" s="530" t="str">
        <f t="shared" si="20"/>
        <v>North Wales.2016.Accommodation - Bed Spaces.Serviced Accommodation 4</v>
      </c>
      <c r="B755" s="530" t="s">
        <v>220</v>
      </c>
      <c r="C755" s="530" t="str">
        <f t="shared" si="21"/>
        <v>2016.Accommodation - Bed Spaces.Serviced Accommodation 4</v>
      </c>
      <c r="D755" s="530" t="s">
        <v>233</v>
      </c>
      <c r="E755" s="530" t="s">
        <v>164</v>
      </c>
      <c r="F755" s="530" t="s">
        <v>154</v>
      </c>
      <c r="G755" s="530" t="s">
        <v>223</v>
      </c>
      <c r="H755" s="530"/>
      <c r="I755" s="530"/>
      <c r="J755" s="530"/>
      <c r="K755" s="530"/>
      <c r="L755" s="530"/>
      <c r="M755" s="530"/>
      <c r="N755" s="530"/>
      <c r="O755" s="530"/>
      <c r="P755" s="530"/>
      <c r="Q755" s="530"/>
      <c r="R755" s="530"/>
      <c r="S755" s="530"/>
      <c r="T755" s="530" t="s">
        <v>223</v>
      </c>
      <c r="U755" s="530" t="s">
        <v>58</v>
      </c>
    </row>
    <row r="756" spans="1:21" ht="13.8" x14ac:dyDescent="0.3">
      <c r="A756" s="530" t="str">
        <f t="shared" si="20"/>
        <v>North Wales.2016.Accommodation - Bed Spaces.Serviced Accommodation 5</v>
      </c>
      <c r="B756" s="530" t="s">
        <v>220</v>
      </c>
      <c r="C756" s="530" t="str">
        <f t="shared" si="21"/>
        <v>2016.Accommodation - Bed Spaces.Serviced Accommodation 5</v>
      </c>
      <c r="D756" s="530" t="s">
        <v>233</v>
      </c>
      <c r="E756" s="530" t="s">
        <v>164</v>
      </c>
      <c r="F756" s="530" t="s">
        <v>155</v>
      </c>
      <c r="G756" s="530" t="s">
        <v>223</v>
      </c>
      <c r="H756" s="530"/>
      <c r="I756" s="530"/>
      <c r="J756" s="530"/>
      <c r="K756" s="530"/>
      <c r="L756" s="530"/>
      <c r="M756" s="530"/>
      <c r="N756" s="530"/>
      <c r="O756" s="530"/>
      <c r="P756" s="530"/>
      <c r="Q756" s="530"/>
      <c r="R756" s="530"/>
      <c r="S756" s="530"/>
      <c r="T756" s="530" t="s">
        <v>223</v>
      </c>
      <c r="U756" s="530" t="s">
        <v>58</v>
      </c>
    </row>
    <row r="757" spans="1:21" ht="13.8" x14ac:dyDescent="0.3">
      <c r="A757" s="530" t="str">
        <f t="shared" si="20"/>
        <v>North Wales.2016.Accommodation - Bed Spaces.Serviced Accommodation Total</v>
      </c>
      <c r="B757" s="530" t="s">
        <v>220</v>
      </c>
      <c r="C757" s="530" t="str">
        <f t="shared" si="21"/>
        <v>2016.Accommodation - Bed Spaces.Serviced Accommodation Total</v>
      </c>
      <c r="D757" s="530" t="s">
        <v>233</v>
      </c>
      <c r="E757" s="530" t="s">
        <v>164</v>
      </c>
      <c r="F757" s="530" t="s">
        <v>161</v>
      </c>
      <c r="G757" s="530" t="s">
        <v>224</v>
      </c>
      <c r="H757" s="530"/>
      <c r="I757" s="530"/>
      <c r="J757" s="530"/>
      <c r="K757" s="530"/>
      <c r="L757" s="530"/>
      <c r="M757" s="530"/>
      <c r="N757" s="530"/>
      <c r="O757" s="530"/>
      <c r="P757" s="530"/>
      <c r="Q757" s="530"/>
      <c r="R757" s="530"/>
      <c r="S757" s="530"/>
      <c r="T757" s="530">
        <v>0</v>
      </c>
      <c r="U757" s="530" t="s">
        <v>58</v>
      </c>
    </row>
    <row r="758" spans="1:21" ht="13.8" x14ac:dyDescent="0.3">
      <c r="A758" s="530" t="str">
        <f t="shared" si="20"/>
        <v>North Wales.2016.Accommodation - Bed Spaces.Non-Serviced Accommodation 1</v>
      </c>
      <c r="B758" s="530" t="s">
        <v>220</v>
      </c>
      <c r="C758" s="530" t="str">
        <f t="shared" si="21"/>
        <v>2016.Accommodation - Bed Spaces.Non-Serviced Accommodation 1</v>
      </c>
      <c r="D758" s="530" t="s">
        <v>233</v>
      </c>
      <c r="E758" s="530" t="s">
        <v>164</v>
      </c>
      <c r="F758" s="530" t="s">
        <v>156</v>
      </c>
      <c r="G758" s="530" t="s">
        <v>223</v>
      </c>
      <c r="H758" s="530"/>
      <c r="I758" s="530"/>
      <c r="J758" s="530"/>
      <c r="K758" s="530"/>
      <c r="L758" s="530"/>
      <c r="M758" s="530"/>
      <c r="N758" s="530"/>
      <c r="O758" s="530"/>
      <c r="P758" s="530"/>
      <c r="Q758" s="530"/>
      <c r="R758" s="530"/>
      <c r="S758" s="530"/>
      <c r="T758" s="530" t="s">
        <v>223</v>
      </c>
      <c r="U758" s="530" t="s">
        <v>58</v>
      </c>
    </row>
    <row r="759" spans="1:21" ht="13.8" x14ac:dyDescent="0.3">
      <c r="A759" s="530" t="str">
        <f t="shared" si="20"/>
        <v>North Wales.2016.Accommodation - Bed Spaces.Non-Serviced Accommodation 2</v>
      </c>
      <c r="B759" s="530" t="s">
        <v>220</v>
      </c>
      <c r="C759" s="530" t="str">
        <f t="shared" si="21"/>
        <v>2016.Accommodation - Bed Spaces.Non-Serviced Accommodation 2</v>
      </c>
      <c r="D759" s="530" t="s">
        <v>233</v>
      </c>
      <c r="E759" s="530" t="s">
        <v>164</v>
      </c>
      <c r="F759" s="530" t="s">
        <v>157</v>
      </c>
      <c r="G759" s="530" t="s">
        <v>224</v>
      </c>
      <c r="H759" s="530"/>
      <c r="I759" s="530"/>
      <c r="J759" s="530"/>
      <c r="K759" s="530"/>
      <c r="L759" s="530"/>
      <c r="M759" s="530"/>
      <c r="N759" s="530"/>
      <c r="O759" s="530"/>
      <c r="P759" s="530"/>
      <c r="Q759" s="530"/>
      <c r="R759" s="530"/>
      <c r="S759" s="530"/>
      <c r="T759" s="530">
        <v>0</v>
      </c>
      <c r="U759" s="530" t="s">
        <v>58</v>
      </c>
    </row>
    <row r="760" spans="1:21" ht="13.8" x14ac:dyDescent="0.3">
      <c r="A760" s="530" t="str">
        <f t="shared" si="20"/>
        <v>North Wales.2016.Accommodation - Bed Spaces.Non-Serviced Accommodation 3</v>
      </c>
      <c r="B760" s="530" t="s">
        <v>220</v>
      </c>
      <c r="C760" s="530" t="str">
        <f t="shared" si="21"/>
        <v>2016.Accommodation - Bed Spaces.Non-Serviced Accommodation 3</v>
      </c>
      <c r="D760" s="530" t="s">
        <v>233</v>
      </c>
      <c r="E760" s="530" t="s">
        <v>164</v>
      </c>
      <c r="F760" s="530" t="s">
        <v>158</v>
      </c>
      <c r="G760" s="530" t="s">
        <v>223</v>
      </c>
      <c r="H760" s="530"/>
      <c r="I760" s="530"/>
      <c r="J760" s="530"/>
      <c r="K760" s="530"/>
      <c r="L760" s="530"/>
      <c r="M760" s="530"/>
      <c r="N760" s="530"/>
      <c r="O760" s="530"/>
      <c r="P760" s="530"/>
      <c r="Q760" s="530"/>
      <c r="R760" s="530"/>
      <c r="S760" s="530"/>
      <c r="T760" s="530" t="s">
        <v>223</v>
      </c>
      <c r="U760" s="530" t="s">
        <v>58</v>
      </c>
    </row>
    <row r="761" spans="1:21" ht="13.8" x14ac:dyDescent="0.3">
      <c r="A761" s="530" t="str">
        <f t="shared" si="20"/>
        <v>North Wales.2016.Accommodation - Bed Spaces.Non-Serviced Accommodation 4</v>
      </c>
      <c r="B761" s="530" t="s">
        <v>220</v>
      </c>
      <c r="C761" s="530" t="str">
        <f t="shared" si="21"/>
        <v>2016.Accommodation - Bed Spaces.Non-Serviced Accommodation 4</v>
      </c>
      <c r="D761" s="530" t="s">
        <v>233</v>
      </c>
      <c r="E761" s="530" t="s">
        <v>164</v>
      </c>
      <c r="F761" s="530" t="s">
        <v>159</v>
      </c>
      <c r="G761" s="530" t="s">
        <v>222</v>
      </c>
      <c r="H761" s="530"/>
      <c r="I761" s="530"/>
      <c r="J761" s="530"/>
      <c r="K761" s="530"/>
      <c r="L761" s="530"/>
      <c r="M761" s="530"/>
      <c r="N761" s="530"/>
      <c r="O761" s="530"/>
      <c r="P761" s="530"/>
      <c r="Q761" s="530"/>
      <c r="R761" s="530"/>
      <c r="S761" s="530"/>
      <c r="T761" s="530">
        <v>0</v>
      </c>
      <c r="U761" s="530" t="s">
        <v>58</v>
      </c>
    </row>
    <row r="762" spans="1:21" ht="13.8" x14ac:dyDescent="0.3">
      <c r="A762" s="530" t="str">
        <f t="shared" si="20"/>
        <v>North Wales.2016.Accommodation - Bed Spaces.Non-Serviced Accommodation 5</v>
      </c>
      <c r="B762" s="530" t="s">
        <v>220</v>
      </c>
      <c r="C762" s="530" t="str">
        <f t="shared" si="21"/>
        <v>2016.Accommodation - Bed Spaces.Non-Serviced Accommodation 5</v>
      </c>
      <c r="D762" s="530" t="s">
        <v>233</v>
      </c>
      <c r="E762" s="530" t="s">
        <v>164</v>
      </c>
      <c r="F762" s="530" t="s">
        <v>160</v>
      </c>
      <c r="G762" s="530" t="s">
        <v>223</v>
      </c>
      <c r="H762" s="530"/>
      <c r="I762" s="530"/>
      <c r="J762" s="530"/>
      <c r="K762" s="530"/>
      <c r="L762" s="530"/>
      <c r="M762" s="530"/>
      <c r="N762" s="530"/>
      <c r="O762" s="530"/>
      <c r="P762" s="530"/>
      <c r="Q762" s="530"/>
      <c r="R762" s="530"/>
      <c r="S762" s="530"/>
      <c r="T762" s="530" t="s">
        <v>223</v>
      </c>
      <c r="U762" s="530" t="s">
        <v>58</v>
      </c>
    </row>
    <row r="763" spans="1:21" ht="13.8" x14ac:dyDescent="0.3">
      <c r="A763" s="530" t="str">
        <f t="shared" si="20"/>
        <v>North Wales.2016.Accommodation - Bed Spaces.Non-Serviced Accommodation Total</v>
      </c>
      <c r="B763" s="530" t="s">
        <v>220</v>
      </c>
      <c r="C763" s="530" t="str">
        <f t="shared" si="21"/>
        <v>2016.Accommodation - Bed Spaces.Non-Serviced Accommodation Total</v>
      </c>
      <c r="D763" s="530" t="s">
        <v>233</v>
      </c>
      <c r="E763" s="530" t="s">
        <v>164</v>
      </c>
      <c r="F763" s="530" t="s">
        <v>162</v>
      </c>
      <c r="G763" s="530" t="s">
        <v>223</v>
      </c>
      <c r="H763" s="530"/>
      <c r="I763" s="530"/>
      <c r="J763" s="530"/>
      <c r="K763" s="530"/>
      <c r="L763" s="530"/>
      <c r="M763" s="530"/>
      <c r="N763" s="530"/>
      <c r="O763" s="530"/>
      <c r="P763" s="530"/>
      <c r="Q763" s="530"/>
      <c r="R763" s="530"/>
      <c r="S763" s="530"/>
      <c r="T763" s="530" t="s">
        <v>223</v>
      </c>
      <c r="U763" s="530" t="s">
        <v>58</v>
      </c>
    </row>
    <row r="764" spans="1:21" ht="13.8" x14ac:dyDescent="0.3">
      <c r="A764" s="530" t="str">
        <f t="shared" si="20"/>
        <v>North Wales.2016.Accommodation - Bed Spaces.All Accommodation Types</v>
      </c>
      <c r="B764" s="530" t="s">
        <v>220</v>
      </c>
      <c r="C764" s="530" t="str">
        <f t="shared" si="21"/>
        <v>2016.Accommodation - Bed Spaces.All Accommodation Types</v>
      </c>
      <c r="D764" s="530" t="s">
        <v>233</v>
      </c>
      <c r="E764" s="530" t="s">
        <v>164</v>
      </c>
      <c r="F764" s="530" t="s">
        <v>163</v>
      </c>
      <c r="G764" s="530" t="s">
        <v>223</v>
      </c>
      <c r="H764" s="530"/>
      <c r="I764" s="530"/>
      <c r="J764" s="530"/>
      <c r="K764" s="530"/>
      <c r="L764" s="530"/>
      <c r="M764" s="530"/>
      <c r="N764" s="530"/>
      <c r="O764" s="530"/>
      <c r="P764" s="530"/>
      <c r="Q764" s="530"/>
      <c r="R764" s="530"/>
      <c r="S764" s="530"/>
      <c r="T764" s="530" t="s">
        <v>223</v>
      </c>
      <c r="U764" s="530" t="s">
        <v>58</v>
      </c>
    </row>
    <row r="765" spans="1:21" ht="13.8" x14ac:dyDescent="0.3">
      <c r="A765" s="530" t="str">
        <f t="shared" si="20"/>
        <v>North Wales.2017.Accommodation - Establishments.Serviced Accommodation 1</v>
      </c>
      <c r="B765" s="530" t="s">
        <v>220</v>
      </c>
      <c r="C765" s="530" t="str">
        <f t="shared" si="21"/>
        <v>2017.Accommodation - Establishments.Serviced Accommodation 1</v>
      </c>
      <c r="D765" s="530" t="s">
        <v>234</v>
      </c>
      <c r="E765" s="530" t="s">
        <v>150</v>
      </c>
      <c r="F765" s="530" t="s">
        <v>151</v>
      </c>
      <c r="G765" s="530" t="s">
        <v>235</v>
      </c>
      <c r="H765" s="530"/>
      <c r="I765" s="530"/>
      <c r="J765" s="530"/>
      <c r="K765" s="530"/>
      <c r="L765" s="530"/>
      <c r="M765" s="530"/>
      <c r="N765" s="530"/>
      <c r="O765" s="530"/>
      <c r="P765" s="530"/>
      <c r="Q765" s="530"/>
      <c r="R765" s="530"/>
      <c r="S765" s="530"/>
      <c r="T765" s="530">
        <v>42.8</v>
      </c>
      <c r="U765" s="530" t="s">
        <v>149</v>
      </c>
    </row>
    <row r="766" spans="1:21" ht="13.8" x14ac:dyDescent="0.3">
      <c r="A766" s="530" t="str">
        <f t="shared" si="20"/>
        <v>North Wales.2017.Accommodation - Establishments.Serviced Accommodation 2</v>
      </c>
      <c r="B766" s="530" t="s">
        <v>220</v>
      </c>
      <c r="C766" s="530" t="str">
        <f t="shared" si="21"/>
        <v>2017.Accommodation - Establishments.Serviced Accommodation 2</v>
      </c>
      <c r="D766" s="530" t="s">
        <v>234</v>
      </c>
      <c r="E766" s="530" t="s">
        <v>150</v>
      </c>
      <c r="F766" s="530" t="s">
        <v>152</v>
      </c>
      <c r="G766" s="530" t="s">
        <v>236</v>
      </c>
      <c r="H766" s="530"/>
      <c r="I766" s="530"/>
      <c r="J766" s="530"/>
      <c r="K766" s="530"/>
      <c r="L766" s="530"/>
      <c r="M766" s="530"/>
      <c r="N766" s="530"/>
      <c r="O766" s="530"/>
      <c r="P766" s="530"/>
      <c r="Q766" s="530"/>
      <c r="R766" s="530"/>
      <c r="S766" s="530"/>
      <c r="T766" s="530">
        <v>202.2</v>
      </c>
      <c r="U766" s="530" t="s">
        <v>149</v>
      </c>
    </row>
    <row r="767" spans="1:21" ht="13.8" x14ac:dyDescent="0.3">
      <c r="A767" s="530" t="str">
        <f t="shared" si="20"/>
        <v>North Wales.2017.Accommodation - Establishments.Serviced Accommodation 3</v>
      </c>
      <c r="B767" s="530" t="s">
        <v>220</v>
      </c>
      <c r="C767" s="530" t="str">
        <f t="shared" si="21"/>
        <v>2017.Accommodation - Establishments.Serviced Accommodation 3</v>
      </c>
      <c r="D767" s="530" t="s">
        <v>234</v>
      </c>
      <c r="E767" s="530" t="s">
        <v>150</v>
      </c>
      <c r="F767" s="530" t="s">
        <v>153</v>
      </c>
      <c r="G767" s="530" t="s">
        <v>237</v>
      </c>
      <c r="H767" s="530"/>
      <c r="I767" s="530"/>
      <c r="J767" s="530"/>
      <c r="K767" s="530"/>
      <c r="L767" s="530"/>
      <c r="M767" s="530"/>
      <c r="N767" s="530"/>
      <c r="O767" s="530"/>
      <c r="P767" s="530"/>
      <c r="Q767" s="530"/>
      <c r="R767" s="530"/>
      <c r="S767" s="530"/>
      <c r="T767" s="530">
        <v>808</v>
      </c>
      <c r="U767" s="530" t="s">
        <v>149</v>
      </c>
    </row>
    <row r="768" spans="1:21" ht="13.8" x14ac:dyDescent="0.3">
      <c r="A768" s="530" t="str">
        <f t="shared" si="20"/>
        <v>North Wales.2017.Accommodation - Establishments.Serviced Accommodation 4</v>
      </c>
      <c r="B768" s="530" t="s">
        <v>220</v>
      </c>
      <c r="C768" s="530" t="str">
        <f t="shared" si="21"/>
        <v>2017.Accommodation - Establishments.Serviced Accommodation 4</v>
      </c>
      <c r="D768" s="530" t="s">
        <v>234</v>
      </c>
      <c r="E768" s="530" t="s">
        <v>150</v>
      </c>
      <c r="F768" s="530" t="s">
        <v>154</v>
      </c>
      <c r="G768" s="530" t="s">
        <v>223</v>
      </c>
      <c r="H768" s="530"/>
      <c r="I768" s="530"/>
      <c r="J768" s="530"/>
      <c r="K768" s="530"/>
      <c r="L768" s="530"/>
      <c r="M768" s="530"/>
      <c r="N768" s="530"/>
      <c r="O768" s="530"/>
      <c r="P768" s="530"/>
      <c r="Q768" s="530"/>
      <c r="R768" s="530"/>
      <c r="S768" s="530"/>
      <c r="T768" s="530" t="s">
        <v>223</v>
      </c>
      <c r="U768" s="530" t="s">
        <v>149</v>
      </c>
    </row>
    <row r="769" spans="1:21" ht="13.8" x14ac:dyDescent="0.3">
      <c r="A769" s="530" t="str">
        <f t="shared" si="20"/>
        <v>North Wales.2017.Accommodation - Establishments.Serviced Accommodation 5</v>
      </c>
      <c r="B769" s="530" t="s">
        <v>220</v>
      </c>
      <c r="C769" s="530" t="str">
        <f t="shared" si="21"/>
        <v>2017.Accommodation - Establishments.Serviced Accommodation 5</v>
      </c>
      <c r="D769" s="530" t="s">
        <v>234</v>
      </c>
      <c r="E769" s="530" t="s">
        <v>150</v>
      </c>
      <c r="F769" s="530" t="s">
        <v>155</v>
      </c>
      <c r="G769" s="530" t="s">
        <v>223</v>
      </c>
      <c r="H769" s="530"/>
      <c r="I769" s="530"/>
      <c r="J769" s="530"/>
      <c r="K769" s="530"/>
      <c r="L769" s="530"/>
      <c r="M769" s="530"/>
      <c r="N769" s="530"/>
      <c r="O769" s="530"/>
      <c r="P769" s="530"/>
      <c r="Q769" s="530"/>
      <c r="R769" s="530"/>
      <c r="S769" s="530"/>
      <c r="T769" s="530" t="s">
        <v>223</v>
      </c>
      <c r="U769" s="530" t="s">
        <v>149</v>
      </c>
    </row>
    <row r="770" spans="1:21" ht="15" customHeight="1" x14ac:dyDescent="0.3">
      <c r="A770" s="530" t="str">
        <f t="shared" si="20"/>
        <v>North Wales.2017.Accommodation - Establishments.Serviced Accommodation Total</v>
      </c>
      <c r="B770" s="530" t="s">
        <v>220</v>
      </c>
      <c r="C770" s="530" t="str">
        <f t="shared" si="21"/>
        <v>2017.Accommodation - Establishments.Serviced Accommodation Total</v>
      </c>
      <c r="D770" s="530" t="s">
        <v>234</v>
      </c>
      <c r="E770" s="530" t="s">
        <v>150</v>
      </c>
      <c r="F770" s="530" t="s">
        <v>161</v>
      </c>
      <c r="G770" s="530" t="s">
        <v>238</v>
      </c>
      <c r="H770" s="530"/>
      <c r="I770" s="530"/>
      <c r="J770" s="530"/>
      <c r="K770" s="530"/>
      <c r="L770" s="530"/>
      <c r="M770" s="530"/>
      <c r="N770" s="530"/>
      <c r="O770" s="530"/>
      <c r="P770" s="530"/>
      <c r="Q770" s="530"/>
      <c r="R770" s="530"/>
      <c r="S770" s="530"/>
      <c r="T770" s="530">
        <v>1053</v>
      </c>
      <c r="U770" s="530" t="s">
        <v>149</v>
      </c>
    </row>
    <row r="771" spans="1:21" ht="15" customHeight="1" x14ac:dyDescent="0.3">
      <c r="A771" s="530" t="str">
        <f t="shared" si="20"/>
        <v>North Wales.2017.Accommodation - Establishments.Non-Serviced Accommodation 1</v>
      </c>
      <c r="B771" s="530" t="s">
        <v>220</v>
      </c>
      <c r="C771" s="530" t="str">
        <f t="shared" si="21"/>
        <v>2017.Accommodation - Establishments.Non-Serviced Accommodation 1</v>
      </c>
      <c r="D771" s="530" t="s">
        <v>234</v>
      </c>
      <c r="E771" s="530" t="s">
        <v>150</v>
      </c>
      <c r="F771" s="530" t="s">
        <v>156</v>
      </c>
      <c r="G771" s="530" t="s">
        <v>239</v>
      </c>
      <c r="H771" s="530"/>
      <c r="I771" s="530"/>
      <c r="J771" s="530"/>
      <c r="K771" s="530"/>
      <c r="L771" s="530"/>
      <c r="M771" s="530"/>
      <c r="N771" s="530"/>
      <c r="O771" s="530"/>
      <c r="P771" s="530"/>
      <c r="Q771" s="530"/>
      <c r="R771" s="530"/>
      <c r="S771" s="530"/>
      <c r="T771" s="530">
        <v>2927</v>
      </c>
      <c r="U771" s="530" t="s">
        <v>149</v>
      </c>
    </row>
    <row r="772" spans="1:21" ht="15" customHeight="1" x14ac:dyDescent="0.3">
      <c r="A772" s="530" t="str">
        <f t="shared" si="20"/>
        <v>North Wales.2017.Accommodation - Establishments.Non-Serviced Accommodation 2</v>
      </c>
      <c r="B772" s="530" t="s">
        <v>220</v>
      </c>
      <c r="C772" s="530" t="str">
        <f t="shared" si="21"/>
        <v>2017.Accommodation - Establishments.Non-Serviced Accommodation 2</v>
      </c>
      <c r="D772" s="530" t="s">
        <v>234</v>
      </c>
      <c r="E772" s="530" t="s">
        <v>150</v>
      </c>
      <c r="F772" s="530" t="s">
        <v>157</v>
      </c>
      <c r="G772" s="530" t="s">
        <v>240</v>
      </c>
      <c r="H772" s="530"/>
      <c r="I772" s="530"/>
      <c r="J772" s="530"/>
      <c r="K772" s="530"/>
      <c r="L772" s="530"/>
      <c r="M772" s="530"/>
      <c r="N772" s="530"/>
      <c r="O772" s="530"/>
      <c r="P772" s="530"/>
      <c r="Q772" s="530"/>
      <c r="R772" s="530"/>
      <c r="S772" s="530"/>
      <c r="T772" s="530">
        <v>320.2</v>
      </c>
      <c r="U772" s="530" t="s">
        <v>149</v>
      </c>
    </row>
    <row r="773" spans="1:21" ht="15" customHeight="1" x14ac:dyDescent="0.3">
      <c r="A773" s="530" t="str">
        <f t="shared" si="20"/>
        <v>North Wales.2017.Accommodation - Establishments.Non-Serviced Accommodation 3</v>
      </c>
      <c r="B773" s="530" t="s">
        <v>220</v>
      </c>
      <c r="C773" s="530" t="str">
        <f t="shared" si="21"/>
        <v>2017.Accommodation - Establishments.Non-Serviced Accommodation 3</v>
      </c>
      <c r="D773" s="530" t="s">
        <v>234</v>
      </c>
      <c r="E773" s="530" t="s">
        <v>150</v>
      </c>
      <c r="F773" s="530" t="s">
        <v>158</v>
      </c>
      <c r="G773" s="530" t="s">
        <v>241</v>
      </c>
      <c r="H773" s="530"/>
      <c r="I773" s="530"/>
      <c r="J773" s="530"/>
      <c r="K773" s="530"/>
      <c r="L773" s="530"/>
      <c r="M773" s="530"/>
      <c r="N773" s="530"/>
      <c r="O773" s="530"/>
      <c r="P773" s="530"/>
      <c r="Q773" s="530"/>
      <c r="R773" s="530"/>
      <c r="S773" s="530"/>
      <c r="T773" s="530">
        <v>348.4</v>
      </c>
      <c r="U773" s="530" t="s">
        <v>149</v>
      </c>
    </row>
    <row r="774" spans="1:21" ht="15" customHeight="1" x14ac:dyDescent="0.3">
      <c r="A774" s="530" t="str">
        <f t="shared" si="20"/>
        <v>North Wales.2017.Accommodation - Establishments.Non-Serviced Accommodation 4</v>
      </c>
      <c r="B774" s="530" t="s">
        <v>220</v>
      </c>
      <c r="C774" s="530" t="str">
        <f t="shared" si="21"/>
        <v>2017.Accommodation - Establishments.Non-Serviced Accommodation 4</v>
      </c>
      <c r="D774" s="530" t="s">
        <v>234</v>
      </c>
      <c r="E774" s="530" t="s">
        <v>150</v>
      </c>
      <c r="F774" s="530" t="s">
        <v>159</v>
      </c>
      <c r="G774" s="530" t="s">
        <v>242</v>
      </c>
      <c r="H774" s="530"/>
      <c r="I774" s="530"/>
      <c r="J774" s="530"/>
      <c r="K774" s="530"/>
      <c r="L774" s="530"/>
      <c r="M774" s="530"/>
      <c r="N774" s="530"/>
      <c r="O774" s="530"/>
      <c r="P774" s="530"/>
      <c r="Q774" s="530"/>
      <c r="R774" s="530"/>
      <c r="S774" s="530"/>
      <c r="T774" s="530">
        <v>0</v>
      </c>
      <c r="U774" s="530" t="s">
        <v>149</v>
      </c>
    </row>
    <row r="775" spans="1:21" ht="15" customHeight="1" x14ac:dyDescent="0.3">
      <c r="A775" s="530" t="str">
        <f t="shared" si="20"/>
        <v>North Wales.2017.Accommodation - Establishments.Non-Serviced Accommodation 5</v>
      </c>
      <c r="B775" s="530" t="s">
        <v>220</v>
      </c>
      <c r="C775" s="530" t="str">
        <f t="shared" si="21"/>
        <v>2017.Accommodation - Establishments.Non-Serviced Accommodation 5</v>
      </c>
      <c r="D775" s="530" t="s">
        <v>234</v>
      </c>
      <c r="E775" s="530" t="s">
        <v>150</v>
      </c>
      <c r="F775" s="530" t="s">
        <v>160</v>
      </c>
      <c r="G775" s="530" t="s">
        <v>223</v>
      </c>
      <c r="H775" s="530"/>
      <c r="I775" s="530"/>
      <c r="J775" s="530"/>
      <c r="K775" s="530"/>
      <c r="L775" s="530"/>
      <c r="M775" s="530"/>
      <c r="N775" s="530"/>
      <c r="O775" s="530"/>
      <c r="P775" s="530"/>
      <c r="Q775" s="530"/>
      <c r="R775" s="530"/>
      <c r="S775" s="530"/>
      <c r="T775" s="530" t="s">
        <v>223</v>
      </c>
      <c r="U775" s="530" t="s">
        <v>149</v>
      </c>
    </row>
    <row r="776" spans="1:21" ht="15" customHeight="1" x14ac:dyDescent="0.3">
      <c r="A776" s="530" t="str">
        <f t="shared" si="20"/>
        <v>North Wales.2017.Accommodation - Establishments.Non-Serviced Accommodation Total</v>
      </c>
      <c r="B776" s="530" t="s">
        <v>220</v>
      </c>
      <c r="C776" s="530" t="str">
        <f t="shared" si="21"/>
        <v>2017.Accommodation - Establishments.Non-Serviced Accommodation Total</v>
      </c>
      <c r="D776" s="530" t="s">
        <v>234</v>
      </c>
      <c r="E776" s="530" t="s">
        <v>150</v>
      </c>
      <c r="F776" s="530" t="s">
        <v>162</v>
      </c>
      <c r="G776" s="530" t="s">
        <v>243</v>
      </c>
      <c r="H776" s="530"/>
      <c r="I776" s="530"/>
      <c r="J776" s="530"/>
      <c r="K776" s="530"/>
      <c r="L776" s="530"/>
      <c r="M776" s="530"/>
      <c r="N776" s="530"/>
      <c r="O776" s="530"/>
      <c r="P776" s="530"/>
      <c r="Q776" s="530"/>
      <c r="R776" s="530"/>
      <c r="S776" s="530"/>
      <c r="T776" s="530">
        <v>3595.6</v>
      </c>
      <c r="U776" s="530" t="s">
        <v>149</v>
      </c>
    </row>
    <row r="777" spans="1:21" ht="15" customHeight="1" x14ac:dyDescent="0.3">
      <c r="A777" s="530" t="str">
        <f t="shared" si="20"/>
        <v>North Wales.2017.Accommodation - Establishments.All Accommodation Types</v>
      </c>
      <c r="B777" s="530" t="s">
        <v>220</v>
      </c>
      <c r="C777" s="530" t="str">
        <f t="shared" si="21"/>
        <v>2017.Accommodation - Establishments.All Accommodation Types</v>
      </c>
      <c r="D777" s="530" t="s">
        <v>234</v>
      </c>
      <c r="E777" s="530" t="s">
        <v>150</v>
      </c>
      <c r="F777" s="530" t="s">
        <v>163</v>
      </c>
      <c r="G777" s="530" t="s">
        <v>38</v>
      </c>
      <c r="H777" s="530"/>
      <c r="I777" s="530"/>
      <c r="J777" s="530"/>
      <c r="K777" s="530"/>
      <c r="L777" s="530"/>
      <c r="M777" s="530"/>
      <c r="N777" s="530"/>
      <c r="O777" s="530"/>
      <c r="P777" s="530"/>
      <c r="Q777" s="530"/>
      <c r="R777" s="530"/>
      <c r="S777" s="530"/>
      <c r="T777" s="530">
        <v>4648.6000000000004</v>
      </c>
      <c r="U777" s="530" t="s">
        <v>149</v>
      </c>
    </row>
    <row r="778" spans="1:21" ht="13.8" x14ac:dyDescent="0.3">
      <c r="A778" s="530" t="str">
        <f t="shared" si="20"/>
        <v>North Wales.2017.Accommodation - Bed Spaces.Serviced Accommodation 1</v>
      </c>
      <c r="B778" s="530" t="s">
        <v>220</v>
      </c>
      <c r="C778" s="530" t="str">
        <f t="shared" si="21"/>
        <v>2017.Accommodation - Bed Spaces.Serviced Accommodation 1</v>
      </c>
      <c r="D778" s="530" t="s">
        <v>234</v>
      </c>
      <c r="E778" s="530" t="s">
        <v>164</v>
      </c>
      <c r="F778" s="530" t="s">
        <v>151</v>
      </c>
      <c r="G778" s="530" t="s">
        <v>235</v>
      </c>
      <c r="H778" s="530"/>
      <c r="I778" s="530"/>
      <c r="J778" s="530"/>
      <c r="K778" s="530"/>
      <c r="L778" s="530"/>
      <c r="M778" s="530"/>
      <c r="N778" s="530"/>
      <c r="O778" s="530"/>
      <c r="P778" s="530"/>
      <c r="Q778" s="530"/>
      <c r="R778" s="530"/>
      <c r="S778" s="530"/>
      <c r="T778" s="530">
        <v>7868.6</v>
      </c>
      <c r="U778" s="530" t="s">
        <v>58</v>
      </c>
    </row>
    <row r="779" spans="1:21" ht="13.8" x14ac:dyDescent="0.3">
      <c r="A779" s="530" t="str">
        <f t="shared" si="20"/>
        <v>North Wales.2017.Accommodation - Bed Spaces.Serviced Accommodation 2</v>
      </c>
      <c r="B779" s="530" t="s">
        <v>220</v>
      </c>
      <c r="C779" s="530" t="str">
        <f t="shared" si="21"/>
        <v>2017.Accommodation - Bed Spaces.Serviced Accommodation 2</v>
      </c>
      <c r="D779" s="530" t="s">
        <v>234</v>
      </c>
      <c r="E779" s="530" t="s">
        <v>164</v>
      </c>
      <c r="F779" s="530" t="s">
        <v>152</v>
      </c>
      <c r="G779" s="530" t="s">
        <v>236</v>
      </c>
      <c r="H779" s="530"/>
      <c r="I779" s="530"/>
      <c r="J779" s="530"/>
      <c r="K779" s="530"/>
      <c r="L779" s="530"/>
      <c r="M779" s="530"/>
      <c r="N779" s="530"/>
      <c r="O779" s="530"/>
      <c r="P779" s="530"/>
      <c r="Q779" s="530"/>
      <c r="R779" s="530"/>
      <c r="S779" s="530"/>
      <c r="T779" s="530">
        <v>9217</v>
      </c>
      <c r="U779" s="530" t="s">
        <v>58</v>
      </c>
    </row>
    <row r="780" spans="1:21" ht="13.8" x14ac:dyDescent="0.3">
      <c r="A780" s="530" t="str">
        <f t="shared" si="20"/>
        <v>North Wales.2017.Accommodation - Bed Spaces.Serviced Accommodation 3</v>
      </c>
      <c r="B780" s="530" t="s">
        <v>220</v>
      </c>
      <c r="C780" s="530" t="str">
        <f t="shared" si="21"/>
        <v>2017.Accommodation - Bed Spaces.Serviced Accommodation 3</v>
      </c>
      <c r="D780" s="530" t="s">
        <v>234</v>
      </c>
      <c r="E780" s="530" t="s">
        <v>164</v>
      </c>
      <c r="F780" s="530" t="s">
        <v>153</v>
      </c>
      <c r="G780" s="530" t="s">
        <v>237</v>
      </c>
      <c r="H780" s="530"/>
      <c r="I780" s="530"/>
      <c r="J780" s="530"/>
      <c r="K780" s="530"/>
      <c r="L780" s="530"/>
      <c r="M780" s="530"/>
      <c r="N780" s="530"/>
      <c r="O780" s="530"/>
      <c r="P780" s="530"/>
      <c r="Q780" s="530"/>
      <c r="R780" s="530"/>
      <c r="S780" s="530"/>
      <c r="T780" s="530">
        <v>8319.7999999999993</v>
      </c>
      <c r="U780" s="530" t="s">
        <v>58</v>
      </c>
    </row>
    <row r="781" spans="1:21" ht="13.8" x14ac:dyDescent="0.3">
      <c r="A781" s="530" t="str">
        <f t="shared" si="20"/>
        <v>North Wales.2017.Accommodation - Bed Spaces.Serviced Accommodation 4</v>
      </c>
      <c r="B781" s="530" t="s">
        <v>220</v>
      </c>
      <c r="C781" s="530" t="str">
        <f t="shared" si="21"/>
        <v>2017.Accommodation - Bed Spaces.Serviced Accommodation 4</v>
      </c>
      <c r="D781" s="530" t="s">
        <v>234</v>
      </c>
      <c r="E781" s="530" t="s">
        <v>164</v>
      </c>
      <c r="F781" s="530" t="s">
        <v>154</v>
      </c>
      <c r="G781" s="530" t="s">
        <v>223</v>
      </c>
      <c r="H781" s="530"/>
      <c r="I781" s="530"/>
      <c r="J781" s="530"/>
      <c r="K781" s="530"/>
      <c r="L781" s="530"/>
      <c r="M781" s="530"/>
      <c r="N781" s="530"/>
      <c r="O781" s="530"/>
      <c r="P781" s="530"/>
      <c r="Q781" s="530"/>
      <c r="R781" s="530"/>
      <c r="S781" s="530"/>
      <c r="T781" s="530" t="s">
        <v>223</v>
      </c>
      <c r="U781" s="530" t="s">
        <v>58</v>
      </c>
    </row>
    <row r="782" spans="1:21" ht="13.8" x14ac:dyDescent="0.3">
      <c r="A782" s="530" t="str">
        <f t="shared" si="20"/>
        <v>North Wales.2017.Accommodation - Bed Spaces.Serviced Accommodation 5</v>
      </c>
      <c r="B782" s="530" t="s">
        <v>220</v>
      </c>
      <c r="C782" s="530" t="str">
        <f t="shared" si="21"/>
        <v>2017.Accommodation - Bed Spaces.Serviced Accommodation 5</v>
      </c>
      <c r="D782" s="530" t="s">
        <v>234</v>
      </c>
      <c r="E782" s="530" t="s">
        <v>164</v>
      </c>
      <c r="F782" s="530" t="s">
        <v>155</v>
      </c>
      <c r="G782" s="530" t="s">
        <v>223</v>
      </c>
      <c r="H782" s="530"/>
      <c r="I782" s="530"/>
      <c r="J782" s="530"/>
      <c r="K782" s="530"/>
      <c r="L782" s="530"/>
      <c r="M782" s="530"/>
      <c r="N782" s="530"/>
      <c r="O782" s="530"/>
      <c r="P782" s="530"/>
      <c r="Q782" s="530"/>
      <c r="R782" s="530"/>
      <c r="S782" s="530"/>
      <c r="T782" s="530" t="s">
        <v>223</v>
      </c>
      <c r="U782" s="530" t="s">
        <v>58</v>
      </c>
    </row>
    <row r="783" spans="1:21" ht="13.8" x14ac:dyDescent="0.3">
      <c r="A783" s="530" t="str">
        <f t="shared" si="20"/>
        <v>North Wales.2017.Accommodation - Bed Spaces.Serviced Accommodation Total</v>
      </c>
      <c r="B783" s="530" t="s">
        <v>220</v>
      </c>
      <c r="C783" s="530" t="str">
        <f t="shared" si="21"/>
        <v>2017.Accommodation - Bed Spaces.Serviced Accommodation Total</v>
      </c>
      <c r="D783" s="530" t="s">
        <v>234</v>
      </c>
      <c r="E783" s="530" t="s">
        <v>164</v>
      </c>
      <c r="F783" s="530" t="s">
        <v>161</v>
      </c>
      <c r="G783" s="530" t="s">
        <v>238</v>
      </c>
      <c r="H783" s="530"/>
      <c r="I783" s="530"/>
      <c r="J783" s="530"/>
      <c r="K783" s="530"/>
      <c r="L783" s="530"/>
      <c r="M783" s="530"/>
      <c r="N783" s="530"/>
      <c r="O783" s="530"/>
      <c r="P783" s="530"/>
      <c r="Q783" s="530"/>
      <c r="R783" s="530"/>
      <c r="S783" s="530"/>
      <c r="T783" s="530">
        <v>25405.399999999998</v>
      </c>
      <c r="U783" s="530" t="s">
        <v>58</v>
      </c>
    </row>
    <row r="784" spans="1:21" ht="13.8" x14ac:dyDescent="0.3">
      <c r="A784" s="530" t="str">
        <f t="shared" si="20"/>
        <v>North Wales.2017.Accommodation - Bed Spaces.Non-Serviced Accommodation 1</v>
      </c>
      <c r="B784" s="530" t="s">
        <v>220</v>
      </c>
      <c r="C784" s="530" t="str">
        <f t="shared" si="21"/>
        <v>2017.Accommodation - Bed Spaces.Non-Serviced Accommodation 1</v>
      </c>
      <c r="D784" s="530" t="s">
        <v>234</v>
      </c>
      <c r="E784" s="530" t="s">
        <v>164</v>
      </c>
      <c r="F784" s="530" t="s">
        <v>156</v>
      </c>
      <c r="G784" s="530" t="s">
        <v>239</v>
      </c>
      <c r="H784" s="530"/>
      <c r="I784" s="530"/>
      <c r="J784" s="530"/>
      <c r="K784" s="530"/>
      <c r="L784" s="530"/>
      <c r="M784" s="530"/>
      <c r="N784" s="530"/>
      <c r="O784" s="530"/>
      <c r="P784" s="530"/>
      <c r="Q784" s="530"/>
      <c r="R784" s="530"/>
      <c r="S784" s="530"/>
      <c r="T784" s="530">
        <v>30037.200000000001</v>
      </c>
      <c r="U784" s="530" t="s">
        <v>58</v>
      </c>
    </row>
    <row r="785" spans="1:21" ht="13.8" x14ac:dyDescent="0.3">
      <c r="A785" s="530" t="str">
        <f t="shared" si="20"/>
        <v>North Wales.2017.Accommodation - Bed Spaces.Non-Serviced Accommodation 2</v>
      </c>
      <c r="B785" s="530" t="s">
        <v>220</v>
      </c>
      <c r="C785" s="530" t="str">
        <f t="shared" si="21"/>
        <v>2017.Accommodation - Bed Spaces.Non-Serviced Accommodation 2</v>
      </c>
      <c r="D785" s="530" t="s">
        <v>234</v>
      </c>
      <c r="E785" s="530" t="s">
        <v>164</v>
      </c>
      <c r="F785" s="530" t="s">
        <v>157</v>
      </c>
      <c r="G785" s="530" t="s">
        <v>240</v>
      </c>
      <c r="H785" s="530"/>
      <c r="I785" s="530"/>
      <c r="J785" s="530"/>
      <c r="K785" s="530"/>
      <c r="L785" s="530"/>
      <c r="M785" s="530"/>
      <c r="N785" s="530"/>
      <c r="O785" s="530"/>
      <c r="P785" s="530"/>
      <c r="Q785" s="530"/>
      <c r="R785" s="530"/>
      <c r="S785" s="530"/>
      <c r="T785" s="530">
        <v>25078.382266962173</v>
      </c>
      <c r="U785" s="530" t="s">
        <v>58</v>
      </c>
    </row>
    <row r="786" spans="1:21" ht="13.8" x14ac:dyDescent="0.3">
      <c r="A786" s="530" t="str">
        <f t="shared" si="20"/>
        <v>North Wales.2017.Accommodation - Bed Spaces.Non-Serviced Accommodation 3</v>
      </c>
      <c r="B786" s="530" t="s">
        <v>220</v>
      </c>
      <c r="C786" s="530" t="str">
        <f t="shared" si="21"/>
        <v>2017.Accommodation - Bed Spaces.Non-Serviced Accommodation 3</v>
      </c>
      <c r="D786" s="530" t="s">
        <v>234</v>
      </c>
      <c r="E786" s="530" t="s">
        <v>164</v>
      </c>
      <c r="F786" s="530" t="s">
        <v>158</v>
      </c>
      <c r="G786" s="530" t="s">
        <v>241</v>
      </c>
      <c r="H786" s="530"/>
      <c r="I786" s="530"/>
      <c r="J786" s="530"/>
      <c r="K786" s="530"/>
      <c r="L786" s="530"/>
      <c r="M786" s="530"/>
      <c r="N786" s="530"/>
      <c r="O786" s="530"/>
      <c r="P786" s="530"/>
      <c r="Q786" s="530"/>
      <c r="R786" s="530"/>
      <c r="S786" s="530"/>
      <c r="T786" s="530">
        <v>56345.4</v>
      </c>
      <c r="U786" s="530" t="s">
        <v>58</v>
      </c>
    </row>
    <row r="787" spans="1:21" ht="13.8" x14ac:dyDescent="0.3">
      <c r="A787" s="530" t="str">
        <f t="shared" si="20"/>
        <v>North Wales.2017.Accommodation - Bed Spaces.Non-Serviced Accommodation 4</v>
      </c>
      <c r="B787" s="530" t="s">
        <v>220</v>
      </c>
      <c r="C787" s="530" t="str">
        <f t="shared" si="21"/>
        <v>2017.Accommodation - Bed Spaces.Non-Serviced Accommodation 4</v>
      </c>
      <c r="D787" s="530" t="s">
        <v>234</v>
      </c>
      <c r="E787" s="530" t="s">
        <v>164</v>
      </c>
      <c r="F787" s="530" t="s">
        <v>159</v>
      </c>
      <c r="G787" s="530" t="s">
        <v>242</v>
      </c>
      <c r="H787" s="530"/>
      <c r="I787" s="530"/>
      <c r="J787" s="530"/>
      <c r="K787" s="530"/>
      <c r="L787" s="530"/>
      <c r="M787" s="530"/>
      <c r="N787" s="530"/>
      <c r="O787" s="530"/>
      <c r="P787" s="530"/>
      <c r="Q787" s="530"/>
      <c r="R787" s="530"/>
      <c r="S787" s="530"/>
      <c r="T787" s="530">
        <v>115636.00902031147</v>
      </c>
      <c r="U787" s="530" t="s">
        <v>58</v>
      </c>
    </row>
    <row r="788" spans="1:21" ht="13.8" x14ac:dyDescent="0.3">
      <c r="A788" s="530" t="str">
        <f t="shared" si="20"/>
        <v>North Wales.2017.Accommodation - Bed Spaces.Non-Serviced Accommodation 5</v>
      </c>
      <c r="B788" s="530" t="s">
        <v>220</v>
      </c>
      <c r="C788" s="530" t="str">
        <f t="shared" si="21"/>
        <v>2017.Accommodation - Bed Spaces.Non-Serviced Accommodation 5</v>
      </c>
      <c r="D788" s="530" t="s">
        <v>234</v>
      </c>
      <c r="E788" s="530" t="s">
        <v>164</v>
      </c>
      <c r="F788" s="530" t="s">
        <v>160</v>
      </c>
      <c r="G788" s="530" t="s">
        <v>223</v>
      </c>
      <c r="H788" s="530"/>
      <c r="I788" s="530"/>
      <c r="J788" s="530"/>
      <c r="K788" s="530"/>
      <c r="L788" s="530"/>
      <c r="M788" s="530"/>
      <c r="N788" s="530"/>
      <c r="O788" s="530"/>
      <c r="P788" s="530"/>
      <c r="Q788" s="530"/>
      <c r="R788" s="530"/>
      <c r="S788" s="530"/>
      <c r="T788" s="530" t="s">
        <v>223</v>
      </c>
      <c r="U788" s="530" t="s">
        <v>58</v>
      </c>
    </row>
    <row r="789" spans="1:21" ht="13.8" x14ac:dyDescent="0.3">
      <c r="A789" s="530" t="str">
        <f t="shared" si="20"/>
        <v>North Wales.2017.Accommodation - Bed Spaces.Non-Serviced Accommodation Total</v>
      </c>
      <c r="B789" s="530" t="s">
        <v>220</v>
      </c>
      <c r="C789" s="530" t="str">
        <f t="shared" si="21"/>
        <v>2017.Accommodation - Bed Spaces.Non-Serviced Accommodation Total</v>
      </c>
      <c r="D789" s="530" t="s">
        <v>234</v>
      </c>
      <c r="E789" s="530" t="s">
        <v>164</v>
      </c>
      <c r="F789" s="530" t="s">
        <v>162</v>
      </c>
      <c r="G789" s="530" t="s">
        <v>243</v>
      </c>
      <c r="H789" s="530"/>
      <c r="I789" s="530"/>
      <c r="J789" s="530"/>
      <c r="K789" s="530"/>
      <c r="L789" s="530"/>
      <c r="M789" s="530"/>
      <c r="N789" s="530"/>
      <c r="O789" s="530"/>
      <c r="P789" s="530"/>
      <c r="Q789" s="530"/>
      <c r="R789" s="530"/>
      <c r="S789" s="530"/>
      <c r="T789" s="530">
        <v>227096.99128727365</v>
      </c>
      <c r="U789" s="530" t="s">
        <v>58</v>
      </c>
    </row>
    <row r="790" spans="1:21" ht="13.8" x14ac:dyDescent="0.3">
      <c r="A790" s="530" t="str">
        <f t="shared" si="20"/>
        <v>North Wales.2017.Accommodation - Bed Spaces.All Accommodation Types</v>
      </c>
      <c r="B790" s="530" t="s">
        <v>220</v>
      </c>
      <c r="C790" s="530" t="str">
        <f t="shared" si="21"/>
        <v>2017.Accommodation - Bed Spaces.All Accommodation Types</v>
      </c>
      <c r="D790" s="530" t="s">
        <v>234</v>
      </c>
      <c r="E790" s="530" t="s">
        <v>164</v>
      </c>
      <c r="F790" s="530" t="s">
        <v>163</v>
      </c>
      <c r="G790" s="530" t="s">
        <v>38</v>
      </c>
      <c r="H790" s="530"/>
      <c r="I790" s="530"/>
      <c r="J790" s="530"/>
      <c r="K790" s="530"/>
      <c r="L790" s="530"/>
      <c r="M790" s="530"/>
      <c r="N790" s="530"/>
      <c r="O790" s="530"/>
      <c r="P790" s="530"/>
      <c r="Q790" s="530"/>
      <c r="R790" s="530"/>
      <c r="S790" s="530"/>
      <c r="T790" s="530">
        <v>252502.39128727364</v>
      </c>
      <c r="U790" s="530" t="s">
        <v>58</v>
      </c>
    </row>
    <row r="791" spans="1:21" ht="13.8" x14ac:dyDescent="0.3">
      <c r="A791" s="530" t="str">
        <f t="shared" si="20"/>
        <v>North Wales.2018.Accommodation - Establishments.Serviced Accommodation 1</v>
      </c>
      <c r="B791" s="530" t="s">
        <v>220</v>
      </c>
      <c r="C791" s="530" t="str">
        <f t="shared" si="21"/>
        <v>2018.Accommodation - Establishments.Serviced Accommodation 1</v>
      </c>
      <c r="D791" s="530" t="s">
        <v>244</v>
      </c>
      <c r="E791" s="530" t="s">
        <v>150</v>
      </c>
      <c r="F791" s="530" t="s">
        <v>151</v>
      </c>
      <c r="G791" s="530" t="s">
        <v>235</v>
      </c>
      <c r="H791" s="530"/>
      <c r="I791" s="530"/>
      <c r="J791" s="530"/>
      <c r="K791" s="530"/>
      <c r="L791" s="530"/>
      <c r="M791" s="530"/>
      <c r="N791" s="530"/>
      <c r="O791" s="530"/>
      <c r="P791" s="530"/>
      <c r="Q791" s="530"/>
      <c r="R791" s="530"/>
      <c r="S791" s="530"/>
      <c r="T791" s="530">
        <v>47</v>
      </c>
      <c r="U791" s="530" t="s">
        <v>149</v>
      </c>
    </row>
    <row r="792" spans="1:21" ht="13.8" x14ac:dyDescent="0.3">
      <c r="A792" s="530" t="str">
        <f t="shared" si="20"/>
        <v>North Wales.2018.Accommodation - Establishments.Serviced Accommodation 2</v>
      </c>
      <c r="B792" s="530" t="s">
        <v>220</v>
      </c>
      <c r="C792" s="530" t="str">
        <f t="shared" si="21"/>
        <v>2018.Accommodation - Establishments.Serviced Accommodation 2</v>
      </c>
      <c r="D792" s="530" t="s">
        <v>244</v>
      </c>
      <c r="E792" s="530" t="s">
        <v>150</v>
      </c>
      <c r="F792" s="530" t="s">
        <v>152</v>
      </c>
      <c r="G792" s="530" t="s">
        <v>236</v>
      </c>
      <c r="H792" s="530"/>
      <c r="I792" s="530"/>
      <c r="J792" s="530"/>
      <c r="K792" s="530"/>
      <c r="L792" s="530"/>
      <c r="M792" s="530"/>
      <c r="N792" s="530"/>
      <c r="O792" s="530"/>
      <c r="P792" s="530"/>
      <c r="Q792" s="530"/>
      <c r="R792" s="530"/>
      <c r="S792" s="530"/>
      <c r="T792" s="530">
        <v>192</v>
      </c>
      <c r="U792" s="530" t="s">
        <v>149</v>
      </c>
    </row>
    <row r="793" spans="1:21" ht="13.8" x14ac:dyDescent="0.3">
      <c r="A793" s="530" t="str">
        <f t="shared" si="20"/>
        <v>North Wales.2018.Accommodation - Establishments.Serviced Accommodation 3</v>
      </c>
      <c r="B793" s="530" t="s">
        <v>220</v>
      </c>
      <c r="C793" s="530" t="str">
        <f t="shared" si="21"/>
        <v>2018.Accommodation - Establishments.Serviced Accommodation 3</v>
      </c>
      <c r="D793" s="530" t="s">
        <v>244</v>
      </c>
      <c r="E793" s="530" t="s">
        <v>150</v>
      </c>
      <c r="F793" s="530" t="s">
        <v>153</v>
      </c>
      <c r="G793" s="530" t="s">
        <v>237</v>
      </c>
      <c r="H793" s="530"/>
      <c r="I793" s="530"/>
      <c r="J793" s="530"/>
      <c r="K793" s="530"/>
      <c r="L793" s="530"/>
      <c r="M793" s="530"/>
      <c r="N793" s="530"/>
      <c r="O793" s="530"/>
      <c r="P793" s="530"/>
      <c r="Q793" s="530"/>
      <c r="R793" s="530"/>
      <c r="S793" s="530"/>
      <c r="T793" s="530">
        <v>810</v>
      </c>
      <c r="U793" s="530" t="s">
        <v>149</v>
      </c>
    </row>
    <row r="794" spans="1:21" ht="13.8" x14ac:dyDescent="0.3">
      <c r="A794" s="530" t="str">
        <f t="shared" si="20"/>
        <v>North Wales.2018.Accommodation - Establishments.Serviced Accommodation 4</v>
      </c>
      <c r="B794" s="530" t="s">
        <v>220</v>
      </c>
      <c r="C794" s="530" t="str">
        <f t="shared" si="21"/>
        <v>2018.Accommodation - Establishments.Serviced Accommodation 4</v>
      </c>
      <c r="D794" s="530" t="s">
        <v>244</v>
      </c>
      <c r="E794" s="530" t="s">
        <v>150</v>
      </c>
      <c r="F794" s="530" t="s">
        <v>154</v>
      </c>
      <c r="G794" s="530" t="s">
        <v>223</v>
      </c>
      <c r="H794" s="530"/>
      <c r="I794" s="530"/>
      <c r="J794" s="530"/>
      <c r="K794" s="530"/>
      <c r="L794" s="530"/>
      <c r="M794" s="530"/>
      <c r="N794" s="530"/>
      <c r="O794" s="530"/>
      <c r="P794" s="530"/>
      <c r="Q794" s="530"/>
      <c r="R794" s="530"/>
      <c r="S794" s="530"/>
      <c r="T794" s="530" t="s">
        <v>223</v>
      </c>
      <c r="U794" s="530" t="s">
        <v>149</v>
      </c>
    </row>
    <row r="795" spans="1:21" ht="13.8" x14ac:dyDescent="0.3">
      <c r="A795" s="530" t="str">
        <f t="shared" si="20"/>
        <v>North Wales.2018.Accommodation - Establishments.Serviced Accommodation 5</v>
      </c>
      <c r="B795" s="530" t="s">
        <v>220</v>
      </c>
      <c r="C795" s="530" t="str">
        <f t="shared" si="21"/>
        <v>2018.Accommodation - Establishments.Serviced Accommodation 5</v>
      </c>
      <c r="D795" s="530" t="s">
        <v>244</v>
      </c>
      <c r="E795" s="530" t="s">
        <v>150</v>
      </c>
      <c r="F795" s="530" t="s">
        <v>155</v>
      </c>
      <c r="G795" s="530" t="s">
        <v>223</v>
      </c>
      <c r="H795" s="530"/>
      <c r="I795" s="530"/>
      <c r="J795" s="530"/>
      <c r="K795" s="530"/>
      <c r="L795" s="530"/>
      <c r="M795" s="530"/>
      <c r="N795" s="530"/>
      <c r="O795" s="530"/>
      <c r="P795" s="530"/>
      <c r="Q795" s="530"/>
      <c r="R795" s="530"/>
      <c r="S795" s="530"/>
      <c r="T795" s="530" t="s">
        <v>223</v>
      </c>
      <c r="U795" s="530" t="s">
        <v>149</v>
      </c>
    </row>
    <row r="796" spans="1:21" ht="15" customHeight="1" x14ac:dyDescent="0.3">
      <c r="A796" s="530" t="str">
        <f t="shared" si="20"/>
        <v>North Wales.2018.Accommodation - Establishments.Serviced Accommodation Total</v>
      </c>
      <c r="B796" s="530" t="s">
        <v>220</v>
      </c>
      <c r="C796" s="530" t="str">
        <f t="shared" si="21"/>
        <v>2018.Accommodation - Establishments.Serviced Accommodation Total</v>
      </c>
      <c r="D796" s="530" t="s">
        <v>244</v>
      </c>
      <c r="E796" s="530" t="s">
        <v>150</v>
      </c>
      <c r="F796" s="530" t="s">
        <v>161</v>
      </c>
      <c r="G796" s="530" t="s">
        <v>238</v>
      </c>
      <c r="H796" s="530"/>
      <c r="I796" s="530"/>
      <c r="J796" s="530"/>
      <c r="K796" s="530"/>
      <c r="L796" s="530"/>
      <c r="M796" s="530"/>
      <c r="N796" s="530"/>
      <c r="O796" s="530"/>
      <c r="P796" s="530"/>
      <c r="Q796" s="530"/>
      <c r="R796" s="530"/>
      <c r="S796" s="530"/>
      <c r="T796" s="530">
        <v>1049</v>
      </c>
      <c r="U796" s="530" t="s">
        <v>149</v>
      </c>
    </row>
    <row r="797" spans="1:21" ht="15" customHeight="1" x14ac:dyDescent="0.3">
      <c r="A797" s="530" t="str">
        <f t="shared" si="20"/>
        <v>North Wales.2018.Accommodation - Establishments.Non-Serviced Accommodation 1</v>
      </c>
      <c r="B797" s="530" t="s">
        <v>220</v>
      </c>
      <c r="C797" s="530" t="str">
        <f t="shared" si="21"/>
        <v>2018.Accommodation - Establishments.Non-Serviced Accommodation 1</v>
      </c>
      <c r="D797" s="530" t="s">
        <v>244</v>
      </c>
      <c r="E797" s="530" t="s">
        <v>150</v>
      </c>
      <c r="F797" s="530" t="s">
        <v>156</v>
      </c>
      <c r="G797" s="530" t="s">
        <v>239</v>
      </c>
      <c r="H797" s="530"/>
      <c r="I797" s="530"/>
      <c r="J797" s="530"/>
      <c r="K797" s="530"/>
      <c r="L797" s="530"/>
      <c r="M797" s="530"/>
      <c r="N797" s="530"/>
      <c r="O797" s="530"/>
      <c r="P797" s="530"/>
      <c r="Q797" s="530"/>
      <c r="R797" s="530"/>
      <c r="S797" s="530"/>
      <c r="T797" s="530">
        <v>3633</v>
      </c>
      <c r="U797" s="530" t="s">
        <v>149</v>
      </c>
    </row>
    <row r="798" spans="1:21" ht="15" customHeight="1" x14ac:dyDescent="0.3">
      <c r="A798" s="530" t="str">
        <f t="shared" si="20"/>
        <v>North Wales.2018.Accommodation - Establishments.Non-Serviced Accommodation 2</v>
      </c>
      <c r="B798" s="530" t="s">
        <v>220</v>
      </c>
      <c r="C798" s="530" t="str">
        <f t="shared" si="21"/>
        <v>2018.Accommodation - Establishments.Non-Serviced Accommodation 2</v>
      </c>
      <c r="D798" s="530" t="s">
        <v>244</v>
      </c>
      <c r="E798" s="530" t="s">
        <v>150</v>
      </c>
      <c r="F798" s="530" t="s">
        <v>157</v>
      </c>
      <c r="G798" s="530" t="s">
        <v>240</v>
      </c>
      <c r="H798" s="530"/>
      <c r="I798" s="530"/>
      <c r="J798" s="530"/>
      <c r="K798" s="530"/>
      <c r="L798" s="530"/>
      <c r="M798" s="530"/>
      <c r="N798" s="530"/>
      <c r="O798" s="530"/>
      <c r="P798" s="530"/>
      <c r="Q798" s="530"/>
      <c r="R798" s="530"/>
      <c r="S798" s="530"/>
      <c r="T798" s="530">
        <v>328</v>
      </c>
      <c r="U798" s="530" t="s">
        <v>149</v>
      </c>
    </row>
    <row r="799" spans="1:21" ht="15" customHeight="1" x14ac:dyDescent="0.3">
      <c r="A799" s="530" t="str">
        <f t="shared" si="20"/>
        <v>North Wales.2018.Accommodation - Establishments.Non-Serviced Accommodation 3</v>
      </c>
      <c r="B799" s="530" t="s">
        <v>220</v>
      </c>
      <c r="C799" s="530" t="str">
        <f t="shared" si="21"/>
        <v>2018.Accommodation - Establishments.Non-Serviced Accommodation 3</v>
      </c>
      <c r="D799" s="530" t="s">
        <v>244</v>
      </c>
      <c r="E799" s="530" t="s">
        <v>150</v>
      </c>
      <c r="F799" s="530" t="s">
        <v>158</v>
      </c>
      <c r="G799" s="530" t="s">
        <v>241</v>
      </c>
      <c r="H799" s="530"/>
      <c r="I799" s="530"/>
      <c r="J799" s="530"/>
      <c r="K799" s="530"/>
      <c r="L799" s="530"/>
      <c r="M799" s="530"/>
      <c r="N799" s="530"/>
      <c r="O799" s="530"/>
      <c r="P799" s="530"/>
      <c r="Q799" s="530"/>
      <c r="R799" s="530"/>
      <c r="S799" s="530"/>
      <c r="T799" s="530">
        <v>408</v>
      </c>
      <c r="U799" s="530" t="s">
        <v>149</v>
      </c>
    </row>
    <row r="800" spans="1:21" ht="15" customHeight="1" x14ac:dyDescent="0.3">
      <c r="A800" s="530" t="str">
        <f t="shared" si="20"/>
        <v>North Wales.2018.Accommodation - Establishments.Non-Serviced Accommodation 4</v>
      </c>
      <c r="B800" s="530" t="s">
        <v>220</v>
      </c>
      <c r="C800" s="530" t="str">
        <f t="shared" si="21"/>
        <v>2018.Accommodation - Establishments.Non-Serviced Accommodation 4</v>
      </c>
      <c r="D800" s="530" t="s">
        <v>244</v>
      </c>
      <c r="E800" s="530" t="s">
        <v>150</v>
      </c>
      <c r="F800" s="530" t="s">
        <v>159</v>
      </c>
      <c r="G800" s="530" t="s">
        <v>242</v>
      </c>
      <c r="H800" s="530"/>
      <c r="I800" s="530"/>
      <c r="J800" s="530"/>
      <c r="K800" s="530"/>
      <c r="L800" s="530"/>
      <c r="M800" s="530"/>
      <c r="N800" s="530"/>
      <c r="O800" s="530"/>
      <c r="P800" s="530"/>
      <c r="Q800" s="530"/>
      <c r="R800" s="530"/>
      <c r="S800" s="530"/>
      <c r="T800" s="530">
        <v>0</v>
      </c>
      <c r="U800" s="530" t="s">
        <v>149</v>
      </c>
    </row>
    <row r="801" spans="1:21" ht="15" customHeight="1" x14ac:dyDescent="0.3">
      <c r="A801" s="530" t="str">
        <f t="shared" si="20"/>
        <v>North Wales.2018.Accommodation - Establishments.Non-Serviced Accommodation 5</v>
      </c>
      <c r="B801" s="530" t="s">
        <v>220</v>
      </c>
      <c r="C801" s="530" t="str">
        <f t="shared" si="21"/>
        <v>2018.Accommodation - Establishments.Non-Serviced Accommodation 5</v>
      </c>
      <c r="D801" s="530" t="s">
        <v>244</v>
      </c>
      <c r="E801" s="530" t="s">
        <v>150</v>
      </c>
      <c r="F801" s="530" t="s">
        <v>160</v>
      </c>
      <c r="G801" s="530" t="s">
        <v>223</v>
      </c>
      <c r="H801" s="530"/>
      <c r="I801" s="530"/>
      <c r="J801" s="530"/>
      <c r="K801" s="530"/>
      <c r="L801" s="530"/>
      <c r="M801" s="530"/>
      <c r="N801" s="530"/>
      <c r="O801" s="530"/>
      <c r="P801" s="530"/>
      <c r="Q801" s="530"/>
      <c r="R801" s="530"/>
      <c r="S801" s="530"/>
      <c r="T801" s="530" t="s">
        <v>223</v>
      </c>
      <c r="U801" s="530" t="s">
        <v>149</v>
      </c>
    </row>
    <row r="802" spans="1:21" ht="15" customHeight="1" x14ac:dyDescent="0.3">
      <c r="A802" s="530" t="str">
        <f t="shared" si="20"/>
        <v>North Wales.2018.Accommodation - Establishments.Non-Serviced Accommodation Total</v>
      </c>
      <c r="B802" s="530" t="s">
        <v>220</v>
      </c>
      <c r="C802" s="530" t="str">
        <f t="shared" si="21"/>
        <v>2018.Accommodation - Establishments.Non-Serviced Accommodation Total</v>
      </c>
      <c r="D802" s="530" t="s">
        <v>244</v>
      </c>
      <c r="E802" s="530" t="s">
        <v>150</v>
      </c>
      <c r="F802" s="530" t="s">
        <v>162</v>
      </c>
      <c r="G802" s="530" t="s">
        <v>243</v>
      </c>
      <c r="H802" s="530"/>
      <c r="I802" s="530"/>
      <c r="J802" s="530"/>
      <c r="K802" s="530"/>
      <c r="L802" s="530"/>
      <c r="M802" s="530"/>
      <c r="N802" s="530"/>
      <c r="O802" s="530"/>
      <c r="P802" s="530"/>
      <c r="Q802" s="530"/>
      <c r="R802" s="530"/>
      <c r="S802" s="530"/>
      <c r="T802" s="530">
        <v>4369</v>
      </c>
      <c r="U802" s="530" t="s">
        <v>149</v>
      </c>
    </row>
    <row r="803" spans="1:21" ht="15" customHeight="1" x14ac:dyDescent="0.3">
      <c r="A803" s="530" t="str">
        <f t="shared" si="20"/>
        <v>North Wales.2018.Accommodation - Establishments.All Accommodation Types</v>
      </c>
      <c r="B803" s="530" t="s">
        <v>220</v>
      </c>
      <c r="C803" s="530" t="str">
        <f t="shared" si="21"/>
        <v>2018.Accommodation - Establishments.All Accommodation Types</v>
      </c>
      <c r="D803" s="530" t="s">
        <v>244</v>
      </c>
      <c r="E803" s="530" t="s">
        <v>150</v>
      </c>
      <c r="F803" s="530" t="s">
        <v>163</v>
      </c>
      <c r="G803" s="530" t="s">
        <v>38</v>
      </c>
      <c r="H803" s="530"/>
      <c r="I803" s="530"/>
      <c r="J803" s="530"/>
      <c r="K803" s="530"/>
      <c r="L803" s="530"/>
      <c r="M803" s="530"/>
      <c r="N803" s="530"/>
      <c r="O803" s="530"/>
      <c r="P803" s="530"/>
      <c r="Q803" s="530"/>
      <c r="R803" s="530"/>
      <c r="S803" s="530"/>
      <c r="T803" s="530">
        <v>5418</v>
      </c>
      <c r="U803" s="530" t="s">
        <v>149</v>
      </c>
    </row>
    <row r="804" spans="1:21" ht="13.8" x14ac:dyDescent="0.3">
      <c r="A804" s="530" t="str">
        <f t="shared" si="20"/>
        <v>North Wales.2018.Accommodation - Bed Spaces.Serviced Accommodation 1</v>
      </c>
      <c r="B804" s="530" t="s">
        <v>220</v>
      </c>
      <c r="C804" s="530" t="str">
        <f t="shared" si="21"/>
        <v>2018.Accommodation - Bed Spaces.Serviced Accommodation 1</v>
      </c>
      <c r="D804" s="530" t="s">
        <v>244</v>
      </c>
      <c r="E804" s="530" t="s">
        <v>164</v>
      </c>
      <c r="F804" s="530" t="s">
        <v>151</v>
      </c>
      <c r="G804" s="530" t="s">
        <v>235</v>
      </c>
      <c r="H804" s="530"/>
      <c r="I804" s="530"/>
      <c r="J804" s="530"/>
      <c r="K804" s="530"/>
      <c r="L804" s="530"/>
      <c r="M804" s="530"/>
      <c r="N804" s="530"/>
      <c r="O804" s="530"/>
      <c r="P804" s="530"/>
      <c r="Q804" s="530"/>
      <c r="R804" s="530"/>
      <c r="S804" s="530"/>
      <c r="T804" s="530">
        <v>8219</v>
      </c>
      <c r="U804" s="530" t="s">
        <v>58</v>
      </c>
    </row>
    <row r="805" spans="1:21" ht="13.8" x14ac:dyDescent="0.3">
      <c r="A805" s="530" t="str">
        <f t="shared" si="20"/>
        <v>North Wales.2018.Accommodation - Bed Spaces.Serviced Accommodation 2</v>
      </c>
      <c r="B805" s="530" t="s">
        <v>220</v>
      </c>
      <c r="C805" s="530" t="str">
        <f t="shared" si="21"/>
        <v>2018.Accommodation - Bed Spaces.Serviced Accommodation 2</v>
      </c>
      <c r="D805" s="530" t="s">
        <v>244</v>
      </c>
      <c r="E805" s="530" t="s">
        <v>164</v>
      </c>
      <c r="F805" s="530" t="s">
        <v>152</v>
      </c>
      <c r="G805" s="530" t="s">
        <v>236</v>
      </c>
      <c r="H805" s="530"/>
      <c r="I805" s="530"/>
      <c r="J805" s="530"/>
      <c r="K805" s="530"/>
      <c r="L805" s="530"/>
      <c r="M805" s="530"/>
      <c r="N805" s="530"/>
      <c r="O805" s="530"/>
      <c r="P805" s="530"/>
      <c r="Q805" s="530"/>
      <c r="R805" s="530"/>
      <c r="S805" s="530"/>
      <c r="T805" s="530">
        <v>8644</v>
      </c>
      <c r="U805" s="530" t="s">
        <v>58</v>
      </c>
    </row>
    <row r="806" spans="1:21" ht="13.8" x14ac:dyDescent="0.3">
      <c r="A806" s="530" t="str">
        <f t="shared" si="20"/>
        <v>North Wales.2018.Accommodation - Bed Spaces.Serviced Accommodation 3</v>
      </c>
      <c r="B806" s="530" t="s">
        <v>220</v>
      </c>
      <c r="C806" s="530" t="str">
        <f t="shared" si="21"/>
        <v>2018.Accommodation - Bed Spaces.Serviced Accommodation 3</v>
      </c>
      <c r="D806" s="530" t="s">
        <v>244</v>
      </c>
      <c r="E806" s="530" t="s">
        <v>164</v>
      </c>
      <c r="F806" s="530" t="s">
        <v>153</v>
      </c>
      <c r="G806" s="530" t="s">
        <v>237</v>
      </c>
      <c r="H806" s="530"/>
      <c r="I806" s="530"/>
      <c r="J806" s="530"/>
      <c r="K806" s="530"/>
      <c r="L806" s="530"/>
      <c r="M806" s="530"/>
      <c r="N806" s="530"/>
      <c r="O806" s="530"/>
      <c r="P806" s="530"/>
      <c r="Q806" s="530"/>
      <c r="R806" s="530"/>
      <c r="S806" s="530"/>
      <c r="T806" s="530">
        <v>8250</v>
      </c>
      <c r="U806" s="530" t="s">
        <v>58</v>
      </c>
    </row>
    <row r="807" spans="1:21" ht="13.8" x14ac:dyDescent="0.3">
      <c r="A807" s="530" t="str">
        <f t="shared" si="20"/>
        <v>North Wales.2018.Accommodation - Bed Spaces.Serviced Accommodation 4</v>
      </c>
      <c r="B807" s="530" t="s">
        <v>220</v>
      </c>
      <c r="C807" s="530" t="str">
        <f t="shared" si="21"/>
        <v>2018.Accommodation - Bed Spaces.Serviced Accommodation 4</v>
      </c>
      <c r="D807" s="530" t="s">
        <v>244</v>
      </c>
      <c r="E807" s="530" t="s">
        <v>164</v>
      </c>
      <c r="F807" s="530" t="s">
        <v>154</v>
      </c>
      <c r="G807" s="530" t="s">
        <v>223</v>
      </c>
      <c r="H807" s="530"/>
      <c r="I807" s="530"/>
      <c r="J807" s="530"/>
      <c r="K807" s="530"/>
      <c r="L807" s="530"/>
      <c r="M807" s="530"/>
      <c r="N807" s="530"/>
      <c r="O807" s="530"/>
      <c r="P807" s="530"/>
      <c r="Q807" s="530"/>
      <c r="R807" s="530"/>
      <c r="S807" s="530"/>
      <c r="T807" s="530" t="s">
        <v>223</v>
      </c>
      <c r="U807" s="530" t="s">
        <v>58</v>
      </c>
    </row>
    <row r="808" spans="1:21" ht="13.8" x14ac:dyDescent="0.3">
      <c r="A808" s="530" t="str">
        <f t="shared" si="20"/>
        <v>North Wales.2018.Accommodation - Bed Spaces.Serviced Accommodation 5</v>
      </c>
      <c r="B808" s="530" t="s">
        <v>220</v>
      </c>
      <c r="C808" s="530" t="str">
        <f t="shared" si="21"/>
        <v>2018.Accommodation - Bed Spaces.Serviced Accommodation 5</v>
      </c>
      <c r="D808" s="530" t="s">
        <v>244</v>
      </c>
      <c r="E808" s="530" t="s">
        <v>164</v>
      </c>
      <c r="F808" s="530" t="s">
        <v>155</v>
      </c>
      <c r="G808" s="530" t="s">
        <v>223</v>
      </c>
      <c r="H808" s="530"/>
      <c r="I808" s="530"/>
      <c r="J808" s="530"/>
      <c r="K808" s="530"/>
      <c r="L808" s="530"/>
      <c r="M808" s="530"/>
      <c r="N808" s="530"/>
      <c r="O808" s="530"/>
      <c r="P808" s="530"/>
      <c r="Q808" s="530"/>
      <c r="R808" s="530"/>
      <c r="S808" s="530"/>
      <c r="T808" s="530" t="s">
        <v>223</v>
      </c>
      <c r="U808" s="530" t="s">
        <v>58</v>
      </c>
    </row>
    <row r="809" spans="1:21" ht="13.8" x14ac:dyDescent="0.3">
      <c r="A809" s="530" t="str">
        <f t="shared" si="20"/>
        <v>North Wales.2018.Accommodation - Bed Spaces.Serviced Accommodation Total</v>
      </c>
      <c r="B809" s="530" t="s">
        <v>220</v>
      </c>
      <c r="C809" s="530" t="str">
        <f t="shared" si="21"/>
        <v>2018.Accommodation - Bed Spaces.Serviced Accommodation Total</v>
      </c>
      <c r="D809" s="530" t="s">
        <v>244</v>
      </c>
      <c r="E809" s="530" t="s">
        <v>164</v>
      </c>
      <c r="F809" s="530" t="s">
        <v>161</v>
      </c>
      <c r="G809" s="530" t="s">
        <v>238</v>
      </c>
      <c r="H809" s="530"/>
      <c r="I809" s="530"/>
      <c r="J809" s="530"/>
      <c r="K809" s="530"/>
      <c r="L809" s="530"/>
      <c r="M809" s="530"/>
      <c r="N809" s="530"/>
      <c r="O809" s="530"/>
      <c r="P809" s="530"/>
      <c r="Q809" s="530"/>
      <c r="R809" s="530"/>
      <c r="S809" s="530"/>
      <c r="T809" s="530">
        <v>25113</v>
      </c>
      <c r="U809" s="530" t="s">
        <v>58</v>
      </c>
    </row>
    <row r="810" spans="1:21" ht="13.8" x14ac:dyDescent="0.3">
      <c r="A810" s="530" t="str">
        <f t="shared" si="20"/>
        <v>North Wales.2018.Accommodation - Bed Spaces.Non-Serviced Accommodation 1</v>
      </c>
      <c r="B810" s="530" t="s">
        <v>220</v>
      </c>
      <c r="C810" s="530" t="str">
        <f t="shared" si="21"/>
        <v>2018.Accommodation - Bed Spaces.Non-Serviced Accommodation 1</v>
      </c>
      <c r="D810" s="530" t="s">
        <v>244</v>
      </c>
      <c r="E810" s="530" t="s">
        <v>164</v>
      </c>
      <c r="F810" s="530" t="s">
        <v>156</v>
      </c>
      <c r="G810" s="530" t="s">
        <v>239</v>
      </c>
      <c r="H810" s="530"/>
      <c r="I810" s="530"/>
      <c r="J810" s="530"/>
      <c r="K810" s="530"/>
      <c r="L810" s="530"/>
      <c r="M810" s="530"/>
      <c r="N810" s="530"/>
      <c r="O810" s="530"/>
      <c r="P810" s="530"/>
      <c r="Q810" s="530"/>
      <c r="R810" s="530"/>
      <c r="S810" s="530"/>
      <c r="T810" s="530">
        <v>35101</v>
      </c>
      <c r="U810" s="530" t="s">
        <v>58</v>
      </c>
    </row>
    <row r="811" spans="1:21" ht="13.8" x14ac:dyDescent="0.3">
      <c r="A811" s="530" t="str">
        <f t="shared" si="20"/>
        <v>North Wales.2018.Accommodation - Bed Spaces.Non-Serviced Accommodation 2</v>
      </c>
      <c r="B811" s="530" t="s">
        <v>220</v>
      </c>
      <c r="C811" s="530" t="str">
        <f t="shared" si="21"/>
        <v>2018.Accommodation - Bed Spaces.Non-Serviced Accommodation 2</v>
      </c>
      <c r="D811" s="530" t="s">
        <v>244</v>
      </c>
      <c r="E811" s="530" t="s">
        <v>164</v>
      </c>
      <c r="F811" s="530" t="s">
        <v>157</v>
      </c>
      <c r="G811" s="530" t="s">
        <v>240</v>
      </c>
      <c r="H811" s="530"/>
      <c r="I811" s="530"/>
      <c r="J811" s="530"/>
      <c r="K811" s="530"/>
      <c r="L811" s="530"/>
      <c r="M811" s="530"/>
      <c r="N811" s="530"/>
      <c r="O811" s="530"/>
      <c r="P811" s="530"/>
      <c r="Q811" s="530"/>
      <c r="R811" s="530"/>
      <c r="S811" s="530"/>
      <c r="T811" s="530">
        <v>25185.677654889289</v>
      </c>
      <c r="U811" s="530" t="s">
        <v>58</v>
      </c>
    </row>
    <row r="812" spans="1:21" ht="13.8" x14ac:dyDescent="0.3">
      <c r="A812" s="530" t="str">
        <f t="shared" si="20"/>
        <v>North Wales.2018.Accommodation - Bed Spaces.Non-Serviced Accommodation 3</v>
      </c>
      <c r="B812" s="530" t="s">
        <v>220</v>
      </c>
      <c r="C812" s="530" t="str">
        <f t="shared" si="21"/>
        <v>2018.Accommodation - Bed Spaces.Non-Serviced Accommodation 3</v>
      </c>
      <c r="D812" s="530" t="s">
        <v>244</v>
      </c>
      <c r="E812" s="530" t="s">
        <v>164</v>
      </c>
      <c r="F812" s="530" t="s">
        <v>158</v>
      </c>
      <c r="G812" s="530" t="s">
        <v>241</v>
      </c>
      <c r="H812" s="530"/>
      <c r="I812" s="530"/>
      <c r="J812" s="530"/>
      <c r="K812" s="530"/>
      <c r="L812" s="530"/>
      <c r="M812" s="530"/>
      <c r="N812" s="530"/>
      <c r="O812" s="530"/>
      <c r="P812" s="530"/>
      <c r="Q812" s="530"/>
      <c r="R812" s="530"/>
      <c r="S812" s="530"/>
      <c r="T812" s="530">
        <v>51417</v>
      </c>
      <c r="U812" s="530" t="s">
        <v>58</v>
      </c>
    </row>
    <row r="813" spans="1:21" ht="13.8" x14ac:dyDescent="0.3">
      <c r="A813" s="530" t="str">
        <f t="shared" si="20"/>
        <v>North Wales.2018.Accommodation - Bed Spaces.Non-Serviced Accommodation 4</v>
      </c>
      <c r="B813" s="530" t="s">
        <v>220</v>
      </c>
      <c r="C813" s="530" t="str">
        <f t="shared" si="21"/>
        <v>2018.Accommodation - Bed Spaces.Non-Serviced Accommodation 4</v>
      </c>
      <c r="D813" s="530" t="s">
        <v>244</v>
      </c>
      <c r="E813" s="530" t="s">
        <v>164</v>
      </c>
      <c r="F813" s="530" t="s">
        <v>159</v>
      </c>
      <c r="G813" s="530" t="s">
        <v>242</v>
      </c>
      <c r="H813" s="530"/>
      <c r="I813" s="530"/>
      <c r="J813" s="530"/>
      <c r="K813" s="530"/>
      <c r="L813" s="530"/>
      <c r="M813" s="530"/>
      <c r="N813" s="530"/>
      <c r="O813" s="530"/>
      <c r="P813" s="530"/>
      <c r="Q813" s="530"/>
      <c r="R813" s="530"/>
      <c r="S813" s="530"/>
      <c r="T813" s="530">
        <v>113065.00959644423</v>
      </c>
      <c r="U813" s="530" t="s">
        <v>58</v>
      </c>
    </row>
    <row r="814" spans="1:21" ht="13.8" x14ac:dyDescent="0.3">
      <c r="A814" s="530" t="str">
        <f t="shared" si="20"/>
        <v>North Wales.2018.Accommodation - Bed Spaces.Non-Serviced Accommodation 5</v>
      </c>
      <c r="B814" s="530" t="s">
        <v>220</v>
      </c>
      <c r="C814" s="530" t="str">
        <f t="shared" si="21"/>
        <v>2018.Accommodation - Bed Spaces.Non-Serviced Accommodation 5</v>
      </c>
      <c r="D814" s="530" t="s">
        <v>244</v>
      </c>
      <c r="E814" s="530" t="s">
        <v>164</v>
      </c>
      <c r="F814" s="530" t="s">
        <v>160</v>
      </c>
      <c r="G814" s="530" t="s">
        <v>223</v>
      </c>
      <c r="H814" s="530"/>
      <c r="I814" s="530"/>
      <c r="J814" s="530"/>
      <c r="K814" s="530"/>
      <c r="L814" s="530"/>
      <c r="M814" s="530"/>
      <c r="N814" s="530"/>
      <c r="O814" s="530"/>
      <c r="P814" s="530"/>
      <c r="Q814" s="530"/>
      <c r="R814" s="530"/>
      <c r="S814" s="530"/>
      <c r="T814" s="530" t="s">
        <v>223</v>
      </c>
      <c r="U814" s="530" t="s">
        <v>58</v>
      </c>
    </row>
    <row r="815" spans="1:21" ht="13.8" x14ac:dyDescent="0.3">
      <c r="A815" s="530" t="str">
        <f t="shared" si="20"/>
        <v>North Wales.2018.Accommodation - Bed Spaces.Non-Serviced Accommodation Total</v>
      </c>
      <c r="B815" s="530" t="s">
        <v>220</v>
      </c>
      <c r="C815" s="530" t="str">
        <f t="shared" si="21"/>
        <v>2018.Accommodation - Bed Spaces.Non-Serviced Accommodation Total</v>
      </c>
      <c r="D815" s="530" t="s">
        <v>244</v>
      </c>
      <c r="E815" s="530" t="s">
        <v>164</v>
      </c>
      <c r="F815" s="530" t="s">
        <v>162</v>
      </c>
      <c r="G815" s="530" t="s">
        <v>243</v>
      </c>
      <c r="H815" s="530"/>
      <c r="I815" s="530"/>
      <c r="J815" s="530"/>
      <c r="K815" s="530"/>
      <c r="L815" s="530"/>
      <c r="M815" s="530"/>
      <c r="N815" s="530"/>
      <c r="O815" s="530"/>
      <c r="P815" s="530"/>
      <c r="Q815" s="530"/>
      <c r="R815" s="530"/>
      <c r="S815" s="530"/>
      <c r="T815" s="530">
        <v>224768.68725133353</v>
      </c>
      <c r="U815" s="530" t="s">
        <v>58</v>
      </c>
    </row>
    <row r="816" spans="1:21" ht="13.8" x14ac:dyDescent="0.3">
      <c r="A816" s="530" t="str">
        <f t="shared" si="20"/>
        <v>North Wales.2018.Accommodation - Bed Spaces.All Accommodation Types</v>
      </c>
      <c r="B816" s="530" t="s">
        <v>220</v>
      </c>
      <c r="C816" s="530" t="str">
        <f t="shared" si="21"/>
        <v>2018.Accommodation - Bed Spaces.All Accommodation Types</v>
      </c>
      <c r="D816" s="530" t="s">
        <v>244</v>
      </c>
      <c r="E816" s="530" t="s">
        <v>164</v>
      </c>
      <c r="F816" s="530" t="s">
        <v>163</v>
      </c>
      <c r="G816" s="530" t="s">
        <v>38</v>
      </c>
      <c r="H816" s="530"/>
      <c r="I816" s="530"/>
      <c r="J816" s="530"/>
      <c r="K816" s="530"/>
      <c r="L816" s="530"/>
      <c r="M816" s="530"/>
      <c r="N816" s="530"/>
      <c r="O816" s="530"/>
      <c r="P816" s="530"/>
      <c r="Q816" s="530"/>
      <c r="R816" s="530"/>
      <c r="S816" s="530"/>
      <c r="T816" s="530">
        <v>249881.68725133353</v>
      </c>
      <c r="U816" s="530" t="s">
        <v>58</v>
      </c>
    </row>
    <row r="817" spans="1:21" ht="13.8" x14ac:dyDescent="0.3">
      <c r="A817" s="530" t="str">
        <f t="shared" si="18"/>
        <v>North Wales.2019.Accommodation - Establishments.Serviced Accommodation 1</v>
      </c>
      <c r="B817" s="530" t="s">
        <v>220</v>
      </c>
      <c r="C817" s="530" t="str">
        <f t="shared" si="19"/>
        <v>2019.Accommodation - Establishments.Serviced Accommodation 1</v>
      </c>
      <c r="D817" s="530" t="s">
        <v>245</v>
      </c>
      <c r="E817" s="530" t="s">
        <v>150</v>
      </c>
      <c r="F817" s="530" t="s">
        <v>151</v>
      </c>
      <c r="G817" s="530" t="s">
        <v>235</v>
      </c>
      <c r="H817" s="530"/>
      <c r="I817" s="530"/>
      <c r="J817" s="530"/>
      <c r="K817" s="530"/>
      <c r="L817" s="530"/>
      <c r="M817" s="530"/>
      <c r="N817" s="530"/>
      <c r="O817" s="530"/>
      <c r="P817" s="530"/>
      <c r="Q817" s="530"/>
      <c r="R817" s="530"/>
      <c r="S817" s="530"/>
      <c r="T817" s="530">
        <v>47</v>
      </c>
      <c r="U817" s="530" t="s">
        <v>149</v>
      </c>
    </row>
    <row r="818" spans="1:21" ht="13.8" x14ac:dyDescent="0.3">
      <c r="A818" s="530" t="str">
        <f t="shared" si="18"/>
        <v>North Wales.2019.Accommodation - Establishments.Serviced Accommodation 2</v>
      </c>
      <c r="B818" s="530" t="s">
        <v>220</v>
      </c>
      <c r="C818" s="530" t="str">
        <f t="shared" si="19"/>
        <v>2019.Accommodation - Establishments.Serviced Accommodation 2</v>
      </c>
      <c r="D818" s="530" t="s">
        <v>245</v>
      </c>
      <c r="E818" s="530" t="s">
        <v>150</v>
      </c>
      <c r="F818" s="530" t="s">
        <v>152</v>
      </c>
      <c r="G818" s="530" t="s">
        <v>236</v>
      </c>
      <c r="H818" s="530"/>
      <c r="I818" s="530"/>
      <c r="J818" s="530"/>
      <c r="K818" s="530"/>
      <c r="L818" s="530"/>
      <c r="M818" s="530"/>
      <c r="N818" s="530"/>
      <c r="O818" s="530"/>
      <c r="P818" s="530"/>
      <c r="Q818" s="530"/>
      <c r="R818" s="530"/>
      <c r="S818" s="530"/>
      <c r="T818" s="530">
        <v>192</v>
      </c>
      <c r="U818" s="530" t="s">
        <v>149</v>
      </c>
    </row>
    <row r="819" spans="1:21" ht="13.8" x14ac:dyDescent="0.3">
      <c r="A819" s="530" t="str">
        <f t="shared" si="18"/>
        <v>North Wales.2019.Accommodation - Establishments.Serviced Accommodation 3</v>
      </c>
      <c r="B819" s="530" t="s">
        <v>220</v>
      </c>
      <c r="C819" s="530" t="str">
        <f t="shared" si="19"/>
        <v>2019.Accommodation - Establishments.Serviced Accommodation 3</v>
      </c>
      <c r="D819" s="530" t="s">
        <v>245</v>
      </c>
      <c r="E819" s="530" t="s">
        <v>150</v>
      </c>
      <c r="F819" s="530" t="s">
        <v>153</v>
      </c>
      <c r="G819" s="530" t="s">
        <v>237</v>
      </c>
      <c r="H819" s="530"/>
      <c r="I819" s="530"/>
      <c r="J819" s="530"/>
      <c r="K819" s="530"/>
      <c r="L819" s="530"/>
      <c r="M819" s="530"/>
      <c r="N819" s="530"/>
      <c r="O819" s="530"/>
      <c r="P819" s="530"/>
      <c r="Q819" s="530"/>
      <c r="R819" s="530"/>
      <c r="S819" s="530"/>
      <c r="T819" s="530">
        <v>810</v>
      </c>
      <c r="U819" s="530" t="s">
        <v>149</v>
      </c>
    </row>
    <row r="820" spans="1:21" ht="13.8" x14ac:dyDescent="0.3">
      <c r="A820" s="530" t="str">
        <f t="shared" si="18"/>
        <v>North Wales.2019.Accommodation - Establishments.Serviced Accommodation 4</v>
      </c>
      <c r="B820" s="530" t="s">
        <v>220</v>
      </c>
      <c r="C820" s="530" t="str">
        <f t="shared" si="19"/>
        <v>2019.Accommodation - Establishments.Serviced Accommodation 4</v>
      </c>
      <c r="D820" s="530" t="s">
        <v>245</v>
      </c>
      <c r="E820" s="530" t="s">
        <v>150</v>
      </c>
      <c r="F820" s="530" t="s">
        <v>154</v>
      </c>
      <c r="G820" s="530" t="s">
        <v>223</v>
      </c>
      <c r="H820" s="530"/>
      <c r="I820" s="530"/>
      <c r="J820" s="530"/>
      <c r="K820" s="530"/>
      <c r="L820" s="530"/>
      <c r="M820" s="530"/>
      <c r="N820" s="530"/>
      <c r="O820" s="530"/>
      <c r="P820" s="530"/>
      <c r="Q820" s="530"/>
      <c r="R820" s="530"/>
      <c r="S820" s="530"/>
      <c r="T820" s="530" t="s">
        <v>223</v>
      </c>
      <c r="U820" s="530" t="s">
        <v>149</v>
      </c>
    </row>
    <row r="821" spans="1:21" ht="13.8" x14ac:dyDescent="0.3">
      <c r="A821" s="530" t="str">
        <f t="shared" si="18"/>
        <v>North Wales.2019.Accommodation - Establishments.Serviced Accommodation 5</v>
      </c>
      <c r="B821" s="530" t="s">
        <v>220</v>
      </c>
      <c r="C821" s="530" t="str">
        <f t="shared" si="19"/>
        <v>2019.Accommodation - Establishments.Serviced Accommodation 5</v>
      </c>
      <c r="D821" s="530" t="s">
        <v>245</v>
      </c>
      <c r="E821" s="530" t="s">
        <v>150</v>
      </c>
      <c r="F821" s="530" t="s">
        <v>155</v>
      </c>
      <c r="G821" s="530" t="s">
        <v>223</v>
      </c>
      <c r="H821" s="530"/>
      <c r="I821" s="530"/>
      <c r="J821" s="530"/>
      <c r="K821" s="530"/>
      <c r="L821" s="530"/>
      <c r="M821" s="530"/>
      <c r="N821" s="530"/>
      <c r="O821" s="530"/>
      <c r="P821" s="530"/>
      <c r="Q821" s="530"/>
      <c r="R821" s="530"/>
      <c r="S821" s="530"/>
      <c r="T821" s="530" t="s">
        <v>223</v>
      </c>
      <c r="U821" s="530" t="s">
        <v>149</v>
      </c>
    </row>
    <row r="822" spans="1:21" ht="15" customHeight="1" x14ac:dyDescent="0.3">
      <c r="A822" s="530" t="str">
        <f t="shared" si="18"/>
        <v>North Wales.2019.Accommodation - Establishments.Serviced Accommodation Total</v>
      </c>
      <c r="B822" s="530" t="s">
        <v>220</v>
      </c>
      <c r="C822" s="530" t="str">
        <f t="shared" si="19"/>
        <v>2019.Accommodation - Establishments.Serviced Accommodation Total</v>
      </c>
      <c r="D822" s="530" t="s">
        <v>245</v>
      </c>
      <c r="E822" s="530" t="s">
        <v>150</v>
      </c>
      <c r="F822" s="530" t="s">
        <v>161</v>
      </c>
      <c r="G822" s="530" t="s">
        <v>238</v>
      </c>
      <c r="H822" s="530"/>
      <c r="I822" s="530"/>
      <c r="J822" s="530"/>
      <c r="K822" s="530"/>
      <c r="L822" s="530"/>
      <c r="M822" s="530"/>
      <c r="N822" s="530"/>
      <c r="O822" s="530"/>
      <c r="P822" s="530"/>
      <c r="Q822" s="530"/>
      <c r="R822" s="530"/>
      <c r="S822" s="530"/>
      <c r="T822" s="530">
        <v>1049</v>
      </c>
      <c r="U822" s="530" t="s">
        <v>149</v>
      </c>
    </row>
    <row r="823" spans="1:21" ht="15" customHeight="1" x14ac:dyDescent="0.3">
      <c r="A823" s="530" t="str">
        <f t="shared" si="18"/>
        <v>North Wales.2019.Accommodation - Establishments.Non-Serviced Accommodation 1</v>
      </c>
      <c r="B823" s="530" t="s">
        <v>220</v>
      </c>
      <c r="C823" s="530" t="str">
        <f t="shared" si="19"/>
        <v>2019.Accommodation - Establishments.Non-Serviced Accommodation 1</v>
      </c>
      <c r="D823" s="530" t="s">
        <v>245</v>
      </c>
      <c r="E823" s="530" t="s">
        <v>150</v>
      </c>
      <c r="F823" s="530" t="s">
        <v>156</v>
      </c>
      <c r="G823" s="530" t="s">
        <v>239</v>
      </c>
      <c r="H823" s="530"/>
      <c r="I823" s="530"/>
      <c r="J823" s="530"/>
      <c r="K823" s="530"/>
      <c r="L823" s="530"/>
      <c r="M823" s="530"/>
      <c r="N823" s="530"/>
      <c r="O823" s="530"/>
      <c r="P823" s="530"/>
      <c r="Q823" s="530"/>
      <c r="R823" s="530"/>
      <c r="S823" s="530"/>
      <c r="T823" s="530">
        <v>3633</v>
      </c>
      <c r="U823" s="530" t="s">
        <v>149</v>
      </c>
    </row>
    <row r="824" spans="1:21" ht="15" customHeight="1" x14ac:dyDescent="0.3">
      <c r="A824" s="530" t="str">
        <f t="shared" si="18"/>
        <v>North Wales.2019.Accommodation - Establishments.Non-Serviced Accommodation 2</v>
      </c>
      <c r="B824" s="530" t="s">
        <v>220</v>
      </c>
      <c r="C824" s="530" t="str">
        <f t="shared" si="19"/>
        <v>2019.Accommodation - Establishments.Non-Serviced Accommodation 2</v>
      </c>
      <c r="D824" s="530" t="s">
        <v>245</v>
      </c>
      <c r="E824" s="530" t="s">
        <v>150</v>
      </c>
      <c r="F824" s="530" t="s">
        <v>157</v>
      </c>
      <c r="G824" s="530" t="s">
        <v>240</v>
      </c>
      <c r="H824" s="530"/>
      <c r="I824" s="530"/>
      <c r="J824" s="530"/>
      <c r="K824" s="530"/>
      <c r="L824" s="530"/>
      <c r="M824" s="530"/>
      <c r="N824" s="530"/>
      <c r="O824" s="530"/>
      <c r="P824" s="530"/>
      <c r="Q824" s="530"/>
      <c r="R824" s="530"/>
      <c r="S824" s="530"/>
      <c r="T824" s="530">
        <v>328</v>
      </c>
      <c r="U824" s="530" t="s">
        <v>149</v>
      </c>
    </row>
    <row r="825" spans="1:21" ht="15" customHeight="1" x14ac:dyDescent="0.3">
      <c r="A825" s="530" t="str">
        <f t="shared" si="18"/>
        <v>North Wales.2019.Accommodation - Establishments.Non-Serviced Accommodation 3</v>
      </c>
      <c r="B825" s="530" t="s">
        <v>220</v>
      </c>
      <c r="C825" s="530" t="str">
        <f t="shared" si="19"/>
        <v>2019.Accommodation - Establishments.Non-Serviced Accommodation 3</v>
      </c>
      <c r="D825" s="530" t="s">
        <v>245</v>
      </c>
      <c r="E825" s="530" t="s">
        <v>150</v>
      </c>
      <c r="F825" s="530" t="s">
        <v>158</v>
      </c>
      <c r="G825" s="530" t="s">
        <v>241</v>
      </c>
      <c r="H825" s="530"/>
      <c r="I825" s="530"/>
      <c r="J825" s="530"/>
      <c r="K825" s="530"/>
      <c r="L825" s="530"/>
      <c r="M825" s="530"/>
      <c r="N825" s="530"/>
      <c r="O825" s="530"/>
      <c r="P825" s="530"/>
      <c r="Q825" s="530"/>
      <c r="R825" s="530"/>
      <c r="S825" s="530"/>
      <c r="T825" s="530">
        <v>408</v>
      </c>
      <c r="U825" s="530" t="s">
        <v>149</v>
      </c>
    </row>
    <row r="826" spans="1:21" ht="15" customHeight="1" x14ac:dyDescent="0.3">
      <c r="A826" s="530" t="str">
        <f t="shared" si="18"/>
        <v>North Wales.2019.Accommodation - Establishments.Non-Serviced Accommodation 4</v>
      </c>
      <c r="B826" s="530" t="s">
        <v>220</v>
      </c>
      <c r="C826" s="530" t="str">
        <f t="shared" si="19"/>
        <v>2019.Accommodation - Establishments.Non-Serviced Accommodation 4</v>
      </c>
      <c r="D826" s="530" t="s">
        <v>245</v>
      </c>
      <c r="E826" s="530" t="s">
        <v>150</v>
      </c>
      <c r="F826" s="530" t="s">
        <v>159</v>
      </c>
      <c r="G826" s="530" t="s">
        <v>242</v>
      </c>
      <c r="H826" s="530"/>
      <c r="I826" s="530"/>
      <c r="J826" s="530"/>
      <c r="K826" s="530"/>
      <c r="L826" s="530"/>
      <c r="M826" s="530"/>
      <c r="N826" s="530"/>
      <c r="O826" s="530"/>
      <c r="P826" s="530"/>
      <c r="Q826" s="530"/>
      <c r="R826" s="530"/>
      <c r="S826" s="530"/>
      <c r="T826" s="530">
        <v>0</v>
      </c>
      <c r="U826" s="530" t="s">
        <v>149</v>
      </c>
    </row>
    <row r="827" spans="1:21" ht="15" customHeight="1" x14ac:dyDescent="0.3">
      <c r="A827" s="530" t="str">
        <f t="shared" si="18"/>
        <v>North Wales.2019.Accommodation - Establishments.Non-Serviced Accommodation 5</v>
      </c>
      <c r="B827" s="530" t="s">
        <v>220</v>
      </c>
      <c r="C827" s="530" t="str">
        <f t="shared" si="19"/>
        <v>2019.Accommodation - Establishments.Non-Serviced Accommodation 5</v>
      </c>
      <c r="D827" s="530" t="s">
        <v>245</v>
      </c>
      <c r="E827" s="530" t="s">
        <v>150</v>
      </c>
      <c r="F827" s="530" t="s">
        <v>160</v>
      </c>
      <c r="G827" s="530" t="s">
        <v>223</v>
      </c>
      <c r="H827" s="530"/>
      <c r="I827" s="530"/>
      <c r="J827" s="530"/>
      <c r="K827" s="530"/>
      <c r="L827" s="530"/>
      <c r="M827" s="530"/>
      <c r="N827" s="530"/>
      <c r="O827" s="530"/>
      <c r="P827" s="530"/>
      <c r="Q827" s="530"/>
      <c r="R827" s="530"/>
      <c r="S827" s="530"/>
      <c r="T827" s="530" t="s">
        <v>223</v>
      </c>
      <c r="U827" s="530" t="s">
        <v>149</v>
      </c>
    </row>
    <row r="828" spans="1:21" ht="15" customHeight="1" x14ac:dyDescent="0.3">
      <c r="A828" s="530" t="str">
        <f t="shared" si="18"/>
        <v>North Wales.2019.Accommodation - Establishments.Non-Serviced Accommodation Total</v>
      </c>
      <c r="B828" s="530" t="s">
        <v>220</v>
      </c>
      <c r="C828" s="530" t="str">
        <f t="shared" si="19"/>
        <v>2019.Accommodation - Establishments.Non-Serviced Accommodation Total</v>
      </c>
      <c r="D828" s="530" t="s">
        <v>245</v>
      </c>
      <c r="E828" s="530" t="s">
        <v>150</v>
      </c>
      <c r="F828" s="530" t="s">
        <v>162</v>
      </c>
      <c r="G828" s="530" t="s">
        <v>243</v>
      </c>
      <c r="H828" s="530"/>
      <c r="I828" s="530"/>
      <c r="J828" s="530"/>
      <c r="K828" s="530"/>
      <c r="L828" s="530"/>
      <c r="M828" s="530"/>
      <c r="N828" s="530"/>
      <c r="O828" s="530"/>
      <c r="P828" s="530"/>
      <c r="Q828" s="530"/>
      <c r="R828" s="530"/>
      <c r="S828" s="530"/>
      <c r="T828" s="530">
        <v>4369</v>
      </c>
      <c r="U828" s="530" t="s">
        <v>149</v>
      </c>
    </row>
    <row r="829" spans="1:21" ht="15" customHeight="1" x14ac:dyDescent="0.3">
      <c r="A829" s="530" t="str">
        <f t="shared" si="18"/>
        <v>North Wales.2019.Accommodation - Establishments.All Accommodation Types</v>
      </c>
      <c r="B829" s="530" t="s">
        <v>220</v>
      </c>
      <c r="C829" s="530" t="str">
        <f t="shared" si="19"/>
        <v>2019.Accommodation - Establishments.All Accommodation Types</v>
      </c>
      <c r="D829" s="530" t="s">
        <v>245</v>
      </c>
      <c r="E829" s="530" t="s">
        <v>150</v>
      </c>
      <c r="F829" s="530" t="s">
        <v>163</v>
      </c>
      <c r="G829" s="530" t="s">
        <v>38</v>
      </c>
      <c r="H829" s="530"/>
      <c r="I829" s="530"/>
      <c r="J829" s="530"/>
      <c r="K829" s="530"/>
      <c r="L829" s="530"/>
      <c r="M829" s="530"/>
      <c r="N829" s="530"/>
      <c r="O829" s="530"/>
      <c r="P829" s="530"/>
      <c r="Q829" s="530"/>
      <c r="R829" s="530"/>
      <c r="S829" s="530"/>
      <c r="T829" s="530">
        <v>5418</v>
      </c>
      <c r="U829" s="530" t="s">
        <v>149</v>
      </c>
    </row>
    <row r="830" spans="1:21" ht="13.8" x14ac:dyDescent="0.3">
      <c r="A830" s="530" t="str">
        <f t="shared" si="18"/>
        <v>North Wales.2019.Accommodation - Bed Spaces.Serviced Accommodation 1</v>
      </c>
      <c r="B830" s="530" t="s">
        <v>220</v>
      </c>
      <c r="C830" s="530" t="str">
        <f t="shared" si="19"/>
        <v>2019.Accommodation - Bed Spaces.Serviced Accommodation 1</v>
      </c>
      <c r="D830" s="530" t="s">
        <v>245</v>
      </c>
      <c r="E830" s="530" t="s">
        <v>164</v>
      </c>
      <c r="F830" s="530" t="s">
        <v>151</v>
      </c>
      <c r="G830" s="530" t="s">
        <v>235</v>
      </c>
      <c r="H830" s="530"/>
      <c r="I830" s="530"/>
      <c r="J830" s="530"/>
      <c r="K830" s="530"/>
      <c r="L830" s="530"/>
      <c r="M830" s="530"/>
      <c r="N830" s="530"/>
      <c r="O830" s="530"/>
      <c r="P830" s="530"/>
      <c r="Q830" s="530"/>
      <c r="R830" s="530"/>
      <c r="S830" s="530"/>
      <c r="T830" s="530">
        <v>8219</v>
      </c>
      <c r="U830" s="530" t="s">
        <v>58</v>
      </c>
    </row>
    <row r="831" spans="1:21" ht="13.8" x14ac:dyDescent="0.3">
      <c r="A831" s="530" t="str">
        <f t="shared" si="18"/>
        <v>North Wales.2019.Accommodation - Bed Spaces.Serviced Accommodation 2</v>
      </c>
      <c r="B831" s="530" t="s">
        <v>220</v>
      </c>
      <c r="C831" s="530" t="str">
        <f t="shared" si="19"/>
        <v>2019.Accommodation - Bed Spaces.Serviced Accommodation 2</v>
      </c>
      <c r="D831" s="530" t="s">
        <v>245</v>
      </c>
      <c r="E831" s="530" t="s">
        <v>164</v>
      </c>
      <c r="F831" s="530" t="s">
        <v>152</v>
      </c>
      <c r="G831" s="530" t="s">
        <v>236</v>
      </c>
      <c r="H831" s="530"/>
      <c r="I831" s="530"/>
      <c r="J831" s="530"/>
      <c r="K831" s="530"/>
      <c r="L831" s="530"/>
      <c r="M831" s="530"/>
      <c r="N831" s="530"/>
      <c r="O831" s="530"/>
      <c r="P831" s="530"/>
      <c r="Q831" s="530"/>
      <c r="R831" s="530"/>
      <c r="S831" s="530"/>
      <c r="T831" s="530">
        <v>8644</v>
      </c>
      <c r="U831" s="530" t="s">
        <v>58</v>
      </c>
    </row>
    <row r="832" spans="1:21" ht="13.8" x14ac:dyDescent="0.3">
      <c r="A832" s="530" t="str">
        <f t="shared" si="18"/>
        <v>North Wales.2019.Accommodation - Bed Spaces.Serviced Accommodation 3</v>
      </c>
      <c r="B832" s="530" t="s">
        <v>220</v>
      </c>
      <c r="C832" s="530" t="str">
        <f t="shared" si="19"/>
        <v>2019.Accommodation - Bed Spaces.Serviced Accommodation 3</v>
      </c>
      <c r="D832" s="530" t="s">
        <v>245</v>
      </c>
      <c r="E832" s="530" t="s">
        <v>164</v>
      </c>
      <c r="F832" s="530" t="s">
        <v>153</v>
      </c>
      <c r="G832" s="530" t="s">
        <v>237</v>
      </c>
      <c r="H832" s="530"/>
      <c r="I832" s="530"/>
      <c r="J832" s="530"/>
      <c r="K832" s="530"/>
      <c r="L832" s="530"/>
      <c r="M832" s="530"/>
      <c r="N832" s="530"/>
      <c r="O832" s="530"/>
      <c r="P832" s="530"/>
      <c r="Q832" s="530"/>
      <c r="R832" s="530"/>
      <c r="S832" s="530"/>
      <c r="T832" s="530">
        <v>8250</v>
      </c>
      <c r="U832" s="530" t="s">
        <v>58</v>
      </c>
    </row>
    <row r="833" spans="1:21" ht="13.8" x14ac:dyDescent="0.3">
      <c r="A833" s="530" t="str">
        <f t="shared" si="18"/>
        <v>North Wales.2019.Accommodation - Bed Spaces.Serviced Accommodation 4</v>
      </c>
      <c r="B833" s="530" t="s">
        <v>220</v>
      </c>
      <c r="C833" s="530" t="str">
        <f t="shared" si="19"/>
        <v>2019.Accommodation - Bed Spaces.Serviced Accommodation 4</v>
      </c>
      <c r="D833" s="530" t="s">
        <v>245</v>
      </c>
      <c r="E833" s="530" t="s">
        <v>164</v>
      </c>
      <c r="F833" s="530" t="s">
        <v>154</v>
      </c>
      <c r="G833" s="530" t="s">
        <v>223</v>
      </c>
      <c r="H833" s="530"/>
      <c r="I833" s="530"/>
      <c r="J833" s="530"/>
      <c r="K833" s="530"/>
      <c r="L833" s="530"/>
      <c r="M833" s="530"/>
      <c r="N833" s="530"/>
      <c r="O833" s="530"/>
      <c r="P833" s="530"/>
      <c r="Q833" s="530"/>
      <c r="R833" s="530"/>
      <c r="S833" s="530"/>
      <c r="T833" s="530" t="s">
        <v>223</v>
      </c>
      <c r="U833" s="530" t="s">
        <v>58</v>
      </c>
    </row>
    <row r="834" spans="1:21" ht="13.8" x14ac:dyDescent="0.3">
      <c r="A834" s="530" t="str">
        <f t="shared" si="18"/>
        <v>North Wales.2019.Accommodation - Bed Spaces.Serviced Accommodation 5</v>
      </c>
      <c r="B834" s="530" t="s">
        <v>220</v>
      </c>
      <c r="C834" s="530" t="str">
        <f t="shared" si="19"/>
        <v>2019.Accommodation - Bed Spaces.Serviced Accommodation 5</v>
      </c>
      <c r="D834" s="530" t="s">
        <v>245</v>
      </c>
      <c r="E834" s="530" t="s">
        <v>164</v>
      </c>
      <c r="F834" s="530" t="s">
        <v>155</v>
      </c>
      <c r="G834" s="530" t="s">
        <v>223</v>
      </c>
      <c r="H834" s="530"/>
      <c r="I834" s="530"/>
      <c r="J834" s="530"/>
      <c r="K834" s="530"/>
      <c r="L834" s="530"/>
      <c r="M834" s="530"/>
      <c r="N834" s="530"/>
      <c r="O834" s="530"/>
      <c r="P834" s="530"/>
      <c r="Q834" s="530"/>
      <c r="R834" s="530"/>
      <c r="S834" s="530"/>
      <c r="T834" s="530" t="s">
        <v>223</v>
      </c>
      <c r="U834" s="530" t="s">
        <v>58</v>
      </c>
    </row>
    <row r="835" spans="1:21" ht="13.8" x14ac:dyDescent="0.3">
      <c r="A835" s="530" t="str">
        <f t="shared" si="18"/>
        <v>North Wales.2019.Accommodation - Bed Spaces.Serviced Accommodation Total</v>
      </c>
      <c r="B835" s="530" t="s">
        <v>220</v>
      </c>
      <c r="C835" s="530" t="str">
        <f t="shared" si="19"/>
        <v>2019.Accommodation - Bed Spaces.Serviced Accommodation Total</v>
      </c>
      <c r="D835" s="530" t="s">
        <v>245</v>
      </c>
      <c r="E835" s="530" t="s">
        <v>164</v>
      </c>
      <c r="F835" s="530" t="s">
        <v>161</v>
      </c>
      <c r="G835" s="530" t="s">
        <v>238</v>
      </c>
      <c r="H835" s="530"/>
      <c r="I835" s="530"/>
      <c r="J835" s="530"/>
      <c r="K835" s="530"/>
      <c r="L835" s="530"/>
      <c r="M835" s="530"/>
      <c r="N835" s="530"/>
      <c r="O835" s="530"/>
      <c r="P835" s="530"/>
      <c r="Q835" s="530"/>
      <c r="R835" s="530"/>
      <c r="S835" s="530"/>
      <c r="T835" s="530">
        <v>25113</v>
      </c>
      <c r="U835" s="530" t="s">
        <v>58</v>
      </c>
    </row>
    <row r="836" spans="1:21" ht="13.8" x14ac:dyDescent="0.3">
      <c r="A836" s="530" t="str">
        <f t="shared" si="18"/>
        <v>North Wales.2019.Accommodation - Bed Spaces.Non-Serviced Accommodation 1</v>
      </c>
      <c r="B836" s="530" t="s">
        <v>220</v>
      </c>
      <c r="C836" s="530" t="str">
        <f t="shared" si="19"/>
        <v>2019.Accommodation - Bed Spaces.Non-Serviced Accommodation 1</v>
      </c>
      <c r="D836" s="530" t="s">
        <v>245</v>
      </c>
      <c r="E836" s="530" t="s">
        <v>164</v>
      </c>
      <c r="F836" s="530" t="s">
        <v>156</v>
      </c>
      <c r="G836" s="530" t="s">
        <v>239</v>
      </c>
      <c r="H836" s="530"/>
      <c r="I836" s="530"/>
      <c r="J836" s="530"/>
      <c r="K836" s="530"/>
      <c r="L836" s="530"/>
      <c r="M836" s="530"/>
      <c r="N836" s="530"/>
      <c r="O836" s="530"/>
      <c r="P836" s="530"/>
      <c r="Q836" s="530"/>
      <c r="R836" s="530"/>
      <c r="S836" s="530"/>
      <c r="T836" s="530">
        <v>35101</v>
      </c>
      <c r="U836" s="530" t="s">
        <v>58</v>
      </c>
    </row>
    <row r="837" spans="1:21" ht="13.8" x14ac:dyDescent="0.3">
      <c r="A837" s="530" t="str">
        <f t="shared" si="18"/>
        <v>North Wales.2019.Accommodation - Bed Spaces.Non-Serviced Accommodation 2</v>
      </c>
      <c r="B837" s="530" t="s">
        <v>220</v>
      </c>
      <c r="C837" s="530" t="str">
        <f t="shared" si="19"/>
        <v>2019.Accommodation - Bed Spaces.Non-Serviced Accommodation 2</v>
      </c>
      <c r="D837" s="530" t="s">
        <v>245</v>
      </c>
      <c r="E837" s="530" t="s">
        <v>164</v>
      </c>
      <c r="F837" s="530" t="s">
        <v>157</v>
      </c>
      <c r="G837" s="530" t="s">
        <v>240</v>
      </c>
      <c r="H837" s="530"/>
      <c r="I837" s="530"/>
      <c r="J837" s="530"/>
      <c r="K837" s="530"/>
      <c r="L837" s="530"/>
      <c r="M837" s="530"/>
      <c r="N837" s="530"/>
      <c r="O837" s="530"/>
      <c r="P837" s="530"/>
      <c r="Q837" s="530"/>
      <c r="R837" s="530"/>
      <c r="S837" s="530"/>
      <c r="T837" s="530">
        <v>25185.677654889289</v>
      </c>
      <c r="U837" s="530" t="s">
        <v>58</v>
      </c>
    </row>
    <row r="838" spans="1:21" ht="13.8" x14ac:dyDescent="0.3">
      <c r="A838" s="530" t="str">
        <f t="shared" si="18"/>
        <v>North Wales.2019.Accommodation - Bed Spaces.Non-Serviced Accommodation 3</v>
      </c>
      <c r="B838" s="530" t="s">
        <v>220</v>
      </c>
      <c r="C838" s="530" t="str">
        <f t="shared" si="19"/>
        <v>2019.Accommodation - Bed Spaces.Non-Serviced Accommodation 3</v>
      </c>
      <c r="D838" s="530" t="s">
        <v>245</v>
      </c>
      <c r="E838" s="530" t="s">
        <v>164</v>
      </c>
      <c r="F838" s="530" t="s">
        <v>158</v>
      </c>
      <c r="G838" s="530" t="s">
        <v>241</v>
      </c>
      <c r="H838" s="530"/>
      <c r="I838" s="530"/>
      <c r="J838" s="530"/>
      <c r="K838" s="530"/>
      <c r="L838" s="530"/>
      <c r="M838" s="530"/>
      <c r="N838" s="530"/>
      <c r="O838" s="530"/>
      <c r="P838" s="530"/>
      <c r="Q838" s="530"/>
      <c r="R838" s="530"/>
      <c r="S838" s="530"/>
      <c r="T838" s="530">
        <v>51417</v>
      </c>
      <c r="U838" s="530" t="s">
        <v>58</v>
      </c>
    </row>
    <row r="839" spans="1:21" ht="13.8" x14ac:dyDescent="0.3">
      <c r="A839" s="530" t="str">
        <f t="shared" si="18"/>
        <v>North Wales.2019.Accommodation - Bed Spaces.Non-Serviced Accommodation 4</v>
      </c>
      <c r="B839" s="530" t="s">
        <v>220</v>
      </c>
      <c r="C839" s="530" t="str">
        <f t="shared" si="19"/>
        <v>2019.Accommodation - Bed Spaces.Non-Serviced Accommodation 4</v>
      </c>
      <c r="D839" s="530" t="s">
        <v>245</v>
      </c>
      <c r="E839" s="530" t="s">
        <v>164</v>
      </c>
      <c r="F839" s="530" t="s">
        <v>159</v>
      </c>
      <c r="G839" s="530" t="s">
        <v>242</v>
      </c>
      <c r="H839" s="530"/>
      <c r="I839" s="530"/>
      <c r="J839" s="530"/>
      <c r="K839" s="530"/>
      <c r="L839" s="530"/>
      <c r="M839" s="530"/>
      <c r="N839" s="530"/>
      <c r="O839" s="530"/>
      <c r="P839" s="530"/>
      <c r="Q839" s="530"/>
      <c r="R839" s="530"/>
      <c r="S839" s="530"/>
      <c r="T839" s="530">
        <v>113065.00959644423</v>
      </c>
      <c r="U839" s="530" t="s">
        <v>58</v>
      </c>
    </row>
    <row r="840" spans="1:21" ht="13.8" x14ac:dyDescent="0.3">
      <c r="A840" s="530" t="str">
        <f t="shared" si="18"/>
        <v>North Wales.2019.Accommodation - Bed Spaces.Non-Serviced Accommodation 5</v>
      </c>
      <c r="B840" s="530" t="s">
        <v>220</v>
      </c>
      <c r="C840" s="530" t="str">
        <f t="shared" si="19"/>
        <v>2019.Accommodation - Bed Spaces.Non-Serviced Accommodation 5</v>
      </c>
      <c r="D840" s="530" t="s">
        <v>245</v>
      </c>
      <c r="E840" s="530" t="s">
        <v>164</v>
      </c>
      <c r="F840" s="530" t="s">
        <v>160</v>
      </c>
      <c r="G840" s="530" t="s">
        <v>223</v>
      </c>
      <c r="H840" s="530"/>
      <c r="I840" s="530"/>
      <c r="J840" s="530"/>
      <c r="K840" s="530"/>
      <c r="L840" s="530"/>
      <c r="M840" s="530"/>
      <c r="N840" s="530"/>
      <c r="O840" s="530"/>
      <c r="P840" s="530"/>
      <c r="Q840" s="530"/>
      <c r="R840" s="530"/>
      <c r="S840" s="530"/>
      <c r="T840" s="530" t="s">
        <v>223</v>
      </c>
      <c r="U840" s="530" t="s">
        <v>58</v>
      </c>
    </row>
    <row r="841" spans="1:21" ht="13.8" x14ac:dyDescent="0.3">
      <c r="A841" s="530" t="str">
        <f t="shared" si="18"/>
        <v>North Wales.2019.Accommodation - Bed Spaces.Non-Serviced Accommodation Total</v>
      </c>
      <c r="B841" s="530" t="s">
        <v>220</v>
      </c>
      <c r="C841" s="530" t="str">
        <f t="shared" si="19"/>
        <v>2019.Accommodation - Bed Spaces.Non-Serviced Accommodation Total</v>
      </c>
      <c r="D841" s="530" t="s">
        <v>245</v>
      </c>
      <c r="E841" s="530" t="s">
        <v>164</v>
      </c>
      <c r="F841" s="530" t="s">
        <v>162</v>
      </c>
      <c r="G841" s="530" t="s">
        <v>243</v>
      </c>
      <c r="H841" s="530"/>
      <c r="I841" s="530"/>
      <c r="J841" s="530"/>
      <c r="K841" s="530"/>
      <c r="L841" s="530"/>
      <c r="M841" s="530"/>
      <c r="N841" s="530"/>
      <c r="O841" s="530"/>
      <c r="P841" s="530"/>
      <c r="Q841" s="530"/>
      <c r="R841" s="530"/>
      <c r="S841" s="530"/>
      <c r="T841" s="530">
        <v>224768.68725133353</v>
      </c>
      <c r="U841" s="530" t="s">
        <v>58</v>
      </c>
    </row>
    <row r="842" spans="1:21" ht="13.8" x14ac:dyDescent="0.3">
      <c r="A842" s="530" t="str">
        <f t="shared" si="18"/>
        <v>North Wales.2019.Accommodation - Bed Spaces.All Accommodation Types</v>
      </c>
      <c r="B842" s="530" t="s">
        <v>220</v>
      </c>
      <c r="C842" s="530" t="str">
        <f t="shared" si="19"/>
        <v>2019.Accommodation - Bed Spaces.All Accommodation Types</v>
      </c>
      <c r="D842" s="530" t="s">
        <v>245</v>
      </c>
      <c r="E842" s="530" t="s">
        <v>164</v>
      </c>
      <c r="F842" s="530" t="s">
        <v>163</v>
      </c>
      <c r="G842" s="530" t="s">
        <v>38</v>
      </c>
      <c r="H842" s="530"/>
      <c r="I842" s="530"/>
      <c r="J842" s="530"/>
      <c r="K842" s="530"/>
      <c r="L842" s="530"/>
      <c r="M842" s="530"/>
      <c r="N842" s="530"/>
      <c r="O842" s="530"/>
      <c r="P842" s="530"/>
      <c r="Q842" s="530"/>
      <c r="R842" s="530"/>
      <c r="S842" s="530"/>
      <c r="T842" s="530">
        <v>249881.68725133353</v>
      </c>
      <c r="U842" s="530" t="s">
        <v>58</v>
      </c>
    </row>
    <row r="843" spans="1:21" ht="13.8" x14ac:dyDescent="0.3">
      <c r="A843" s="530" t="str">
        <f t="shared" ref="A843:A868" si="22">B843&amp;"."&amp;D843&amp;"."&amp;E843&amp;"."&amp;F843</f>
        <v>North Wales.2020.Accommodation - Establishments.Serviced Accommodation 1</v>
      </c>
      <c r="B843" s="530" t="s">
        <v>220</v>
      </c>
      <c r="C843" s="530" t="str">
        <f t="shared" ref="C843:C868" si="23">D843&amp;"."&amp;E843&amp;"."&amp;F843</f>
        <v>2020.Accommodation - Establishments.Serviced Accommodation 1</v>
      </c>
      <c r="D843" s="530" t="s">
        <v>246</v>
      </c>
      <c r="E843" s="530" t="s">
        <v>150</v>
      </c>
      <c r="F843" s="530" t="s">
        <v>151</v>
      </c>
      <c r="G843" s="530" t="s">
        <v>235</v>
      </c>
      <c r="H843" s="530"/>
      <c r="I843" s="530"/>
      <c r="J843" s="530"/>
      <c r="K843" s="530"/>
      <c r="L843" s="530"/>
      <c r="M843" s="530"/>
      <c r="N843" s="530"/>
      <c r="O843" s="530"/>
      <c r="P843" s="530"/>
      <c r="Q843" s="530"/>
      <c r="R843" s="530"/>
      <c r="S843" s="530"/>
      <c r="T843" s="530">
        <v>44</v>
      </c>
      <c r="U843" s="530" t="s">
        <v>149</v>
      </c>
    </row>
    <row r="844" spans="1:21" ht="13.8" x14ac:dyDescent="0.3">
      <c r="A844" s="530" t="str">
        <f t="shared" si="22"/>
        <v>North Wales.2020.Accommodation - Establishments.Serviced Accommodation 2</v>
      </c>
      <c r="B844" s="530" t="s">
        <v>220</v>
      </c>
      <c r="C844" s="530" t="str">
        <f t="shared" si="23"/>
        <v>2020.Accommodation - Establishments.Serviced Accommodation 2</v>
      </c>
      <c r="D844" s="530" t="s">
        <v>246</v>
      </c>
      <c r="E844" s="530" t="s">
        <v>150</v>
      </c>
      <c r="F844" s="530" t="s">
        <v>152</v>
      </c>
      <c r="G844" s="530" t="s">
        <v>236</v>
      </c>
      <c r="H844" s="530"/>
      <c r="I844" s="530"/>
      <c r="J844" s="530"/>
      <c r="K844" s="530"/>
      <c r="L844" s="530"/>
      <c r="M844" s="530"/>
      <c r="N844" s="530"/>
      <c r="O844" s="530"/>
      <c r="P844" s="530"/>
      <c r="Q844" s="530"/>
      <c r="R844" s="530"/>
      <c r="S844" s="530"/>
      <c r="T844" s="530">
        <v>185</v>
      </c>
      <c r="U844" s="530" t="s">
        <v>149</v>
      </c>
    </row>
    <row r="845" spans="1:21" ht="13.8" x14ac:dyDescent="0.3">
      <c r="A845" s="530" t="str">
        <f t="shared" si="22"/>
        <v>North Wales.2020.Accommodation - Establishments.Serviced Accommodation 3</v>
      </c>
      <c r="B845" s="530" t="s">
        <v>220</v>
      </c>
      <c r="C845" s="530" t="str">
        <f t="shared" si="23"/>
        <v>2020.Accommodation - Establishments.Serviced Accommodation 3</v>
      </c>
      <c r="D845" s="530" t="s">
        <v>246</v>
      </c>
      <c r="E845" s="530" t="s">
        <v>150</v>
      </c>
      <c r="F845" s="530" t="s">
        <v>153</v>
      </c>
      <c r="G845" s="530" t="s">
        <v>237</v>
      </c>
      <c r="H845" s="530"/>
      <c r="I845" s="530"/>
      <c r="J845" s="530"/>
      <c r="K845" s="530"/>
      <c r="L845" s="530"/>
      <c r="M845" s="530"/>
      <c r="N845" s="530"/>
      <c r="O845" s="530"/>
      <c r="P845" s="530"/>
      <c r="Q845" s="530"/>
      <c r="R845" s="530"/>
      <c r="S845" s="530"/>
      <c r="T845" s="530">
        <v>748.9</v>
      </c>
      <c r="U845" s="530" t="s">
        <v>149</v>
      </c>
    </row>
    <row r="846" spans="1:21" ht="13.8" x14ac:dyDescent="0.3">
      <c r="A846" s="530" t="str">
        <f t="shared" si="22"/>
        <v>North Wales.2020.Accommodation - Establishments.Serviced Accommodation 4</v>
      </c>
      <c r="B846" s="530" t="s">
        <v>220</v>
      </c>
      <c r="C846" s="530" t="str">
        <f t="shared" si="23"/>
        <v>2020.Accommodation - Establishments.Serviced Accommodation 4</v>
      </c>
      <c r="D846" s="530" t="s">
        <v>246</v>
      </c>
      <c r="E846" s="530" t="s">
        <v>150</v>
      </c>
      <c r="F846" s="530" t="s">
        <v>154</v>
      </c>
      <c r="G846" s="530" t="s">
        <v>223</v>
      </c>
      <c r="H846" s="530"/>
      <c r="I846" s="530"/>
      <c r="J846" s="530"/>
      <c r="K846" s="530"/>
      <c r="L846" s="530"/>
      <c r="M846" s="530"/>
      <c r="N846" s="530"/>
      <c r="O846" s="530"/>
      <c r="P846" s="530"/>
      <c r="Q846" s="530"/>
      <c r="R846" s="530"/>
      <c r="S846" s="530"/>
      <c r="T846" s="530" t="s">
        <v>223</v>
      </c>
      <c r="U846" s="530" t="s">
        <v>149</v>
      </c>
    </row>
    <row r="847" spans="1:21" ht="13.8" x14ac:dyDescent="0.3">
      <c r="A847" s="530" t="str">
        <f t="shared" si="22"/>
        <v>North Wales.2020.Accommodation - Establishments.Serviced Accommodation 5</v>
      </c>
      <c r="B847" s="530" t="s">
        <v>220</v>
      </c>
      <c r="C847" s="530" t="str">
        <f t="shared" si="23"/>
        <v>2020.Accommodation - Establishments.Serviced Accommodation 5</v>
      </c>
      <c r="D847" s="530" t="s">
        <v>246</v>
      </c>
      <c r="E847" s="530" t="s">
        <v>150</v>
      </c>
      <c r="F847" s="530" t="s">
        <v>155</v>
      </c>
      <c r="G847" s="530" t="s">
        <v>223</v>
      </c>
      <c r="H847" s="530"/>
      <c r="I847" s="530"/>
      <c r="J847" s="530"/>
      <c r="K847" s="530"/>
      <c r="L847" s="530"/>
      <c r="M847" s="530"/>
      <c r="N847" s="530"/>
      <c r="O847" s="530"/>
      <c r="P847" s="530"/>
      <c r="Q847" s="530"/>
      <c r="R847" s="530"/>
      <c r="S847" s="530"/>
      <c r="T847" s="530" t="s">
        <v>223</v>
      </c>
      <c r="U847" s="530" t="s">
        <v>149</v>
      </c>
    </row>
    <row r="848" spans="1:21" ht="15" customHeight="1" x14ac:dyDescent="0.3">
      <c r="A848" s="530" t="str">
        <f t="shared" si="22"/>
        <v>North Wales.2020.Accommodation - Establishments.Serviced Accommodation Total</v>
      </c>
      <c r="B848" s="530" t="s">
        <v>220</v>
      </c>
      <c r="C848" s="530" t="str">
        <f t="shared" si="23"/>
        <v>2020.Accommodation - Establishments.Serviced Accommodation Total</v>
      </c>
      <c r="D848" s="530" t="s">
        <v>246</v>
      </c>
      <c r="E848" s="530" t="s">
        <v>150</v>
      </c>
      <c r="F848" s="530" t="s">
        <v>161</v>
      </c>
      <c r="G848" s="530" t="s">
        <v>238</v>
      </c>
      <c r="H848" s="530"/>
      <c r="I848" s="530"/>
      <c r="J848" s="530"/>
      <c r="K848" s="530"/>
      <c r="L848" s="530"/>
      <c r="M848" s="530"/>
      <c r="N848" s="530"/>
      <c r="O848" s="530"/>
      <c r="P848" s="530"/>
      <c r="Q848" s="530"/>
      <c r="R848" s="530"/>
      <c r="S848" s="530"/>
      <c r="T848" s="530">
        <v>977.9</v>
      </c>
      <c r="U848" s="530" t="s">
        <v>149</v>
      </c>
    </row>
    <row r="849" spans="1:21" ht="15" customHeight="1" x14ac:dyDescent="0.3">
      <c r="A849" s="530" t="str">
        <f t="shared" si="22"/>
        <v>North Wales.2020.Accommodation - Establishments.Non-Serviced Accommodation 1</v>
      </c>
      <c r="B849" s="530" t="s">
        <v>220</v>
      </c>
      <c r="C849" s="530" t="str">
        <f t="shared" si="23"/>
        <v>2020.Accommodation - Establishments.Non-Serviced Accommodation 1</v>
      </c>
      <c r="D849" s="530" t="s">
        <v>246</v>
      </c>
      <c r="E849" s="530" t="s">
        <v>150</v>
      </c>
      <c r="F849" s="530" t="s">
        <v>156</v>
      </c>
      <c r="G849" s="530" t="s">
        <v>239</v>
      </c>
      <c r="H849" s="530"/>
      <c r="I849" s="530"/>
      <c r="J849" s="530"/>
      <c r="K849" s="530"/>
      <c r="L849" s="530"/>
      <c r="M849" s="530"/>
      <c r="N849" s="530"/>
      <c r="O849" s="530"/>
      <c r="P849" s="530"/>
      <c r="Q849" s="530"/>
      <c r="R849" s="530"/>
      <c r="S849" s="530"/>
      <c r="T849" s="530">
        <v>3567.06</v>
      </c>
      <c r="U849" s="530" t="s">
        <v>149</v>
      </c>
    </row>
    <row r="850" spans="1:21" ht="15" customHeight="1" x14ac:dyDescent="0.3">
      <c r="A850" s="530" t="str">
        <f t="shared" si="22"/>
        <v>North Wales.2020.Accommodation - Establishments.Non-Serviced Accommodation 2</v>
      </c>
      <c r="B850" s="530" t="s">
        <v>220</v>
      </c>
      <c r="C850" s="530" t="str">
        <f t="shared" si="23"/>
        <v>2020.Accommodation - Establishments.Non-Serviced Accommodation 2</v>
      </c>
      <c r="D850" s="530" t="s">
        <v>246</v>
      </c>
      <c r="E850" s="530" t="s">
        <v>150</v>
      </c>
      <c r="F850" s="530" t="s">
        <v>157</v>
      </c>
      <c r="G850" s="530" t="s">
        <v>240</v>
      </c>
      <c r="H850" s="530"/>
      <c r="I850" s="530"/>
      <c r="J850" s="530"/>
      <c r="K850" s="530"/>
      <c r="L850" s="530"/>
      <c r="M850" s="530"/>
      <c r="N850" s="530"/>
      <c r="O850" s="530"/>
      <c r="P850" s="530"/>
      <c r="Q850" s="530"/>
      <c r="R850" s="530"/>
      <c r="S850" s="530"/>
      <c r="T850" s="530">
        <v>322.67172413793105</v>
      </c>
      <c r="U850" s="530" t="s">
        <v>149</v>
      </c>
    </row>
    <row r="851" spans="1:21" ht="15" customHeight="1" x14ac:dyDescent="0.3">
      <c r="A851" s="530" t="str">
        <f t="shared" si="22"/>
        <v>North Wales.2020.Accommodation - Establishments.Non-Serviced Accommodation 3</v>
      </c>
      <c r="B851" s="530" t="s">
        <v>220</v>
      </c>
      <c r="C851" s="530" t="str">
        <f t="shared" si="23"/>
        <v>2020.Accommodation - Establishments.Non-Serviced Accommodation 3</v>
      </c>
      <c r="D851" s="530" t="s">
        <v>246</v>
      </c>
      <c r="E851" s="530" t="s">
        <v>150</v>
      </c>
      <c r="F851" s="530" t="s">
        <v>158</v>
      </c>
      <c r="G851" s="530" t="s">
        <v>241</v>
      </c>
      <c r="H851" s="530"/>
      <c r="I851" s="530"/>
      <c r="J851" s="530"/>
      <c r="K851" s="530"/>
      <c r="L851" s="530"/>
      <c r="M851" s="530"/>
      <c r="N851" s="530"/>
      <c r="O851" s="530"/>
      <c r="P851" s="530"/>
      <c r="Q851" s="530"/>
      <c r="R851" s="530"/>
      <c r="S851" s="530"/>
      <c r="T851" s="530">
        <v>399.96000000000004</v>
      </c>
      <c r="U851" s="530" t="s">
        <v>149</v>
      </c>
    </row>
    <row r="852" spans="1:21" ht="15" customHeight="1" x14ac:dyDescent="0.3">
      <c r="A852" s="530" t="str">
        <f t="shared" si="22"/>
        <v>North Wales.2020.Accommodation - Establishments.Non-Serviced Accommodation 4</v>
      </c>
      <c r="B852" s="530" t="s">
        <v>220</v>
      </c>
      <c r="C852" s="530" t="str">
        <f t="shared" si="23"/>
        <v>2020.Accommodation - Establishments.Non-Serviced Accommodation 4</v>
      </c>
      <c r="D852" s="530" t="s">
        <v>246</v>
      </c>
      <c r="E852" s="530" t="s">
        <v>150</v>
      </c>
      <c r="F852" s="530" t="s">
        <v>159</v>
      </c>
      <c r="G852" s="530" t="s">
        <v>242</v>
      </c>
      <c r="H852" s="530"/>
      <c r="I852" s="530"/>
      <c r="J852" s="530"/>
      <c r="K852" s="530"/>
      <c r="L852" s="530"/>
      <c r="M852" s="530"/>
      <c r="N852" s="530"/>
      <c r="O852" s="530"/>
      <c r="P852" s="530"/>
      <c r="Q852" s="530"/>
      <c r="R852" s="530"/>
      <c r="S852" s="530"/>
      <c r="T852" s="530">
        <v>0</v>
      </c>
      <c r="U852" s="530" t="s">
        <v>149</v>
      </c>
    </row>
    <row r="853" spans="1:21" ht="15" customHeight="1" x14ac:dyDescent="0.3">
      <c r="A853" s="530" t="str">
        <f t="shared" si="22"/>
        <v>North Wales.2020.Accommodation - Establishments.Non-Serviced Accommodation 5</v>
      </c>
      <c r="B853" s="530" t="s">
        <v>220</v>
      </c>
      <c r="C853" s="530" t="str">
        <f t="shared" si="23"/>
        <v>2020.Accommodation - Establishments.Non-Serviced Accommodation 5</v>
      </c>
      <c r="D853" s="530" t="s">
        <v>246</v>
      </c>
      <c r="E853" s="530" t="s">
        <v>150</v>
      </c>
      <c r="F853" s="530" t="s">
        <v>160</v>
      </c>
      <c r="G853" s="530" t="s">
        <v>223</v>
      </c>
      <c r="H853" s="530"/>
      <c r="I853" s="530"/>
      <c r="J853" s="530"/>
      <c r="K853" s="530"/>
      <c r="L853" s="530"/>
      <c r="M853" s="530"/>
      <c r="N853" s="530"/>
      <c r="O853" s="530"/>
      <c r="P853" s="530"/>
      <c r="Q853" s="530"/>
      <c r="R853" s="530"/>
      <c r="S853" s="530"/>
      <c r="T853" s="530" t="s">
        <v>223</v>
      </c>
      <c r="U853" s="530" t="s">
        <v>149</v>
      </c>
    </row>
    <row r="854" spans="1:21" ht="15" customHeight="1" x14ac:dyDescent="0.3">
      <c r="A854" s="530" t="str">
        <f t="shared" si="22"/>
        <v>North Wales.2020.Accommodation - Establishments.Non-Serviced Accommodation Total</v>
      </c>
      <c r="B854" s="530" t="s">
        <v>220</v>
      </c>
      <c r="C854" s="530" t="str">
        <f t="shared" si="23"/>
        <v>2020.Accommodation - Establishments.Non-Serviced Accommodation Total</v>
      </c>
      <c r="D854" s="530" t="s">
        <v>246</v>
      </c>
      <c r="E854" s="530" t="s">
        <v>150</v>
      </c>
      <c r="F854" s="530" t="s">
        <v>162</v>
      </c>
      <c r="G854" s="530" t="s">
        <v>243</v>
      </c>
      <c r="H854" s="530"/>
      <c r="I854" s="530"/>
      <c r="J854" s="530"/>
      <c r="K854" s="530"/>
      <c r="L854" s="530"/>
      <c r="M854" s="530"/>
      <c r="N854" s="530"/>
      <c r="O854" s="530"/>
      <c r="P854" s="530"/>
      <c r="Q854" s="530"/>
      <c r="R854" s="530"/>
      <c r="S854" s="530"/>
      <c r="T854" s="530">
        <v>4289.6917241379306</v>
      </c>
      <c r="U854" s="530" t="s">
        <v>149</v>
      </c>
    </row>
    <row r="855" spans="1:21" ht="15" customHeight="1" x14ac:dyDescent="0.3">
      <c r="A855" s="530" t="str">
        <f t="shared" si="22"/>
        <v>North Wales.2020.Accommodation - Establishments.All Accommodation Types</v>
      </c>
      <c r="B855" s="530" t="s">
        <v>220</v>
      </c>
      <c r="C855" s="530" t="str">
        <f t="shared" si="23"/>
        <v>2020.Accommodation - Establishments.All Accommodation Types</v>
      </c>
      <c r="D855" s="530" t="s">
        <v>246</v>
      </c>
      <c r="E855" s="530" t="s">
        <v>150</v>
      </c>
      <c r="F855" s="530" t="s">
        <v>163</v>
      </c>
      <c r="G855" s="530" t="s">
        <v>38</v>
      </c>
      <c r="H855" s="530"/>
      <c r="I855" s="530"/>
      <c r="J855" s="530"/>
      <c r="K855" s="530"/>
      <c r="L855" s="530"/>
      <c r="M855" s="530"/>
      <c r="N855" s="530"/>
      <c r="O855" s="530"/>
      <c r="P855" s="530"/>
      <c r="Q855" s="530"/>
      <c r="R855" s="530"/>
      <c r="S855" s="530"/>
      <c r="T855" s="530">
        <v>5267.5917241379302</v>
      </c>
      <c r="U855" s="530" t="s">
        <v>149</v>
      </c>
    </row>
    <row r="856" spans="1:21" ht="13.8" x14ac:dyDescent="0.3">
      <c r="A856" s="530" t="str">
        <f t="shared" si="22"/>
        <v>North Wales.2020.Accommodation - Bed Spaces.Serviced Accommodation 1</v>
      </c>
      <c r="B856" s="530" t="s">
        <v>220</v>
      </c>
      <c r="C856" s="530" t="str">
        <f t="shared" si="23"/>
        <v>2020.Accommodation - Bed Spaces.Serviced Accommodation 1</v>
      </c>
      <c r="D856" s="530" t="s">
        <v>246</v>
      </c>
      <c r="E856" s="530" t="s">
        <v>164</v>
      </c>
      <c r="F856" s="530" t="s">
        <v>151</v>
      </c>
      <c r="G856" s="530" t="s">
        <v>235</v>
      </c>
      <c r="H856" s="530"/>
      <c r="I856" s="530"/>
      <c r="J856" s="530"/>
      <c r="K856" s="530"/>
      <c r="L856" s="530"/>
      <c r="M856" s="530"/>
      <c r="N856" s="530"/>
      <c r="O856" s="530"/>
      <c r="P856" s="530"/>
      <c r="Q856" s="530"/>
      <c r="R856" s="530"/>
      <c r="S856" s="530"/>
      <c r="T856" s="530">
        <v>7785</v>
      </c>
      <c r="U856" s="530" t="s">
        <v>58</v>
      </c>
    </row>
    <row r="857" spans="1:21" ht="13.8" x14ac:dyDescent="0.3">
      <c r="A857" s="530" t="str">
        <f t="shared" si="22"/>
        <v>North Wales.2020.Accommodation - Bed Spaces.Serviced Accommodation 2</v>
      </c>
      <c r="B857" s="530" t="s">
        <v>220</v>
      </c>
      <c r="C857" s="530" t="str">
        <f t="shared" si="23"/>
        <v>2020.Accommodation - Bed Spaces.Serviced Accommodation 2</v>
      </c>
      <c r="D857" s="530" t="s">
        <v>246</v>
      </c>
      <c r="E857" s="530" t="s">
        <v>164</v>
      </c>
      <c r="F857" s="530" t="s">
        <v>152</v>
      </c>
      <c r="G857" s="530" t="s">
        <v>236</v>
      </c>
      <c r="H857" s="530"/>
      <c r="I857" s="530"/>
      <c r="J857" s="530"/>
      <c r="K857" s="530"/>
      <c r="L857" s="530"/>
      <c r="M857" s="530"/>
      <c r="N857" s="530"/>
      <c r="O857" s="530"/>
      <c r="P857" s="530"/>
      <c r="Q857" s="530"/>
      <c r="R857" s="530"/>
      <c r="S857" s="530"/>
      <c r="T857" s="530">
        <v>8326</v>
      </c>
      <c r="U857" s="530" t="s">
        <v>58</v>
      </c>
    </row>
    <row r="858" spans="1:21" ht="13.8" x14ac:dyDescent="0.3">
      <c r="A858" s="530" t="str">
        <f t="shared" si="22"/>
        <v>North Wales.2020.Accommodation - Bed Spaces.Serviced Accommodation 3</v>
      </c>
      <c r="B858" s="530" t="s">
        <v>220</v>
      </c>
      <c r="C858" s="530" t="str">
        <f t="shared" si="23"/>
        <v>2020.Accommodation - Bed Spaces.Serviced Accommodation 3</v>
      </c>
      <c r="D858" s="530" t="s">
        <v>246</v>
      </c>
      <c r="E858" s="530" t="s">
        <v>164</v>
      </c>
      <c r="F858" s="530" t="s">
        <v>153</v>
      </c>
      <c r="G858" s="530" t="s">
        <v>237</v>
      </c>
      <c r="H858" s="530"/>
      <c r="I858" s="530"/>
      <c r="J858" s="530"/>
      <c r="K858" s="530"/>
      <c r="L858" s="530"/>
      <c r="M858" s="530"/>
      <c r="N858" s="530"/>
      <c r="O858" s="530"/>
      <c r="P858" s="530"/>
      <c r="Q858" s="530"/>
      <c r="R858" s="530"/>
      <c r="S858" s="530"/>
      <c r="T858" s="530">
        <v>7599</v>
      </c>
      <c r="U858" s="530" t="s">
        <v>58</v>
      </c>
    </row>
    <row r="859" spans="1:21" ht="13.8" x14ac:dyDescent="0.3">
      <c r="A859" s="530" t="str">
        <f t="shared" si="22"/>
        <v>North Wales.2020.Accommodation - Bed Spaces.Serviced Accommodation 4</v>
      </c>
      <c r="B859" s="530" t="s">
        <v>220</v>
      </c>
      <c r="C859" s="530" t="str">
        <f t="shared" si="23"/>
        <v>2020.Accommodation - Bed Spaces.Serviced Accommodation 4</v>
      </c>
      <c r="D859" s="530" t="s">
        <v>246</v>
      </c>
      <c r="E859" s="530" t="s">
        <v>164</v>
      </c>
      <c r="F859" s="530" t="s">
        <v>154</v>
      </c>
      <c r="G859" s="530" t="s">
        <v>223</v>
      </c>
      <c r="H859" s="530"/>
      <c r="I859" s="530"/>
      <c r="J859" s="530"/>
      <c r="K859" s="530"/>
      <c r="L859" s="530"/>
      <c r="M859" s="530"/>
      <c r="N859" s="530"/>
      <c r="O859" s="530"/>
      <c r="P859" s="530"/>
      <c r="Q859" s="530"/>
      <c r="R859" s="530"/>
      <c r="S859" s="530"/>
      <c r="T859" s="530" t="s">
        <v>223</v>
      </c>
      <c r="U859" s="530" t="s">
        <v>58</v>
      </c>
    </row>
    <row r="860" spans="1:21" ht="13.8" x14ac:dyDescent="0.3">
      <c r="A860" s="530" t="str">
        <f t="shared" si="22"/>
        <v>North Wales.2020.Accommodation - Bed Spaces.Serviced Accommodation 5</v>
      </c>
      <c r="B860" s="530" t="s">
        <v>220</v>
      </c>
      <c r="C860" s="530" t="str">
        <f t="shared" si="23"/>
        <v>2020.Accommodation - Bed Spaces.Serviced Accommodation 5</v>
      </c>
      <c r="D860" s="530" t="s">
        <v>246</v>
      </c>
      <c r="E860" s="530" t="s">
        <v>164</v>
      </c>
      <c r="F860" s="530" t="s">
        <v>155</v>
      </c>
      <c r="G860" s="530" t="s">
        <v>223</v>
      </c>
      <c r="H860" s="530"/>
      <c r="I860" s="530"/>
      <c r="J860" s="530"/>
      <c r="K860" s="530"/>
      <c r="L860" s="530"/>
      <c r="M860" s="530"/>
      <c r="N860" s="530"/>
      <c r="O860" s="530"/>
      <c r="P860" s="530"/>
      <c r="Q860" s="530"/>
      <c r="R860" s="530"/>
      <c r="S860" s="530"/>
      <c r="T860" s="530" t="s">
        <v>223</v>
      </c>
      <c r="U860" s="530" t="s">
        <v>58</v>
      </c>
    </row>
    <row r="861" spans="1:21" ht="13.8" x14ac:dyDescent="0.3">
      <c r="A861" s="530" t="str">
        <f t="shared" si="22"/>
        <v>North Wales.2020.Accommodation - Bed Spaces.Serviced Accommodation Total</v>
      </c>
      <c r="B861" s="530" t="s">
        <v>220</v>
      </c>
      <c r="C861" s="530" t="str">
        <f t="shared" si="23"/>
        <v>2020.Accommodation - Bed Spaces.Serviced Accommodation Total</v>
      </c>
      <c r="D861" s="530" t="s">
        <v>246</v>
      </c>
      <c r="E861" s="530" t="s">
        <v>164</v>
      </c>
      <c r="F861" s="530" t="s">
        <v>161</v>
      </c>
      <c r="G861" s="530" t="s">
        <v>238</v>
      </c>
      <c r="H861" s="530"/>
      <c r="I861" s="530"/>
      <c r="J861" s="530"/>
      <c r="K861" s="530"/>
      <c r="L861" s="530"/>
      <c r="M861" s="530"/>
      <c r="N861" s="530"/>
      <c r="O861" s="530"/>
      <c r="P861" s="530"/>
      <c r="Q861" s="530"/>
      <c r="R861" s="530"/>
      <c r="S861" s="530"/>
      <c r="T861" s="530">
        <v>23710</v>
      </c>
      <c r="U861" s="530" t="s">
        <v>58</v>
      </c>
    </row>
    <row r="862" spans="1:21" ht="13.8" x14ac:dyDescent="0.3">
      <c r="A862" s="530" t="str">
        <f t="shared" si="22"/>
        <v>North Wales.2020.Accommodation - Bed Spaces.Non-Serviced Accommodation 1</v>
      </c>
      <c r="B862" s="530" t="s">
        <v>220</v>
      </c>
      <c r="C862" s="530" t="str">
        <f t="shared" si="23"/>
        <v>2020.Accommodation - Bed Spaces.Non-Serviced Accommodation 1</v>
      </c>
      <c r="D862" s="530" t="s">
        <v>246</v>
      </c>
      <c r="E862" s="530" t="s">
        <v>164</v>
      </c>
      <c r="F862" s="530" t="s">
        <v>156</v>
      </c>
      <c r="G862" s="530" t="s">
        <v>239</v>
      </c>
      <c r="H862" s="530"/>
      <c r="I862" s="530"/>
      <c r="J862" s="530"/>
      <c r="K862" s="530"/>
      <c r="L862" s="530"/>
      <c r="M862" s="530"/>
      <c r="N862" s="530"/>
      <c r="O862" s="530"/>
      <c r="P862" s="530"/>
      <c r="Q862" s="530"/>
      <c r="R862" s="530"/>
      <c r="S862" s="530"/>
      <c r="T862" s="530">
        <v>33658.910400000001</v>
      </c>
      <c r="U862" s="530" t="s">
        <v>58</v>
      </c>
    </row>
    <row r="863" spans="1:21" ht="13.8" x14ac:dyDescent="0.3">
      <c r="A863" s="530" t="str">
        <f t="shared" si="22"/>
        <v>North Wales.2020.Accommodation - Bed Spaces.Non-Serviced Accommodation 2</v>
      </c>
      <c r="B863" s="530" t="s">
        <v>220</v>
      </c>
      <c r="C863" s="530" t="str">
        <f t="shared" si="23"/>
        <v>2020.Accommodation - Bed Spaces.Non-Serviced Accommodation 2</v>
      </c>
      <c r="D863" s="530" t="s">
        <v>246</v>
      </c>
      <c r="E863" s="530" t="s">
        <v>164</v>
      </c>
      <c r="F863" s="530" t="s">
        <v>157</v>
      </c>
      <c r="G863" s="530" t="s">
        <v>240</v>
      </c>
      <c r="H863" s="530"/>
      <c r="I863" s="530"/>
      <c r="J863" s="530"/>
      <c r="K863" s="530"/>
      <c r="L863" s="530"/>
      <c r="M863" s="530"/>
      <c r="N863" s="530"/>
      <c r="O863" s="530"/>
      <c r="P863" s="530"/>
      <c r="Q863" s="530"/>
      <c r="R863" s="530"/>
      <c r="S863" s="530"/>
      <c r="T863" s="530">
        <v>19253.227585422675</v>
      </c>
      <c r="U863" s="530" t="s">
        <v>58</v>
      </c>
    </row>
    <row r="864" spans="1:21" ht="13.8" x14ac:dyDescent="0.3">
      <c r="A864" s="530" t="str">
        <f t="shared" si="22"/>
        <v>North Wales.2020.Accommodation - Bed Spaces.Non-Serviced Accommodation 3</v>
      </c>
      <c r="B864" s="530" t="s">
        <v>220</v>
      </c>
      <c r="C864" s="530" t="str">
        <f t="shared" si="23"/>
        <v>2020.Accommodation - Bed Spaces.Non-Serviced Accommodation 3</v>
      </c>
      <c r="D864" s="530" t="s">
        <v>246</v>
      </c>
      <c r="E864" s="530" t="s">
        <v>164</v>
      </c>
      <c r="F864" s="530" t="s">
        <v>158</v>
      </c>
      <c r="G864" s="530" t="s">
        <v>241</v>
      </c>
      <c r="H864" s="530"/>
      <c r="I864" s="530"/>
      <c r="J864" s="530"/>
      <c r="K864" s="530"/>
      <c r="L864" s="530"/>
      <c r="M864" s="530"/>
      <c r="N864" s="530"/>
      <c r="O864" s="530"/>
      <c r="P864" s="530"/>
      <c r="Q864" s="530"/>
      <c r="R864" s="530"/>
      <c r="S864" s="530"/>
      <c r="T864" s="530">
        <v>40506.491368421055</v>
      </c>
      <c r="U864" s="530" t="s">
        <v>58</v>
      </c>
    </row>
    <row r="865" spans="1:21" ht="13.8" x14ac:dyDescent="0.3">
      <c r="A865" s="530" t="str">
        <f t="shared" si="22"/>
        <v>North Wales.2020.Accommodation - Bed Spaces.Non-Serviced Accommodation 4</v>
      </c>
      <c r="B865" s="530" t="s">
        <v>220</v>
      </c>
      <c r="C865" s="530" t="str">
        <f t="shared" si="23"/>
        <v>2020.Accommodation - Bed Spaces.Non-Serviced Accommodation 4</v>
      </c>
      <c r="D865" s="530" t="s">
        <v>246</v>
      </c>
      <c r="E865" s="530" t="s">
        <v>164</v>
      </c>
      <c r="F865" s="530" t="s">
        <v>159</v>
      </c>
      <c r="G865" s="530" t="s">
        <v>242</v>
      </c>
      <c r="H865" s="530"/>
      <c r="I865" s="530"/>
      <c r="J865" s="530"/>
      <c r="K865" s="530"/>
      <c r="L865" s="530"/>
      <c r="M865" s="530"/>
      <c r="N865" s="530"/>
      <c r="O865" s="530"/>
      <c r="P865" s="530"/>
      <c r="Q865" s="530"/>
      <c r="R865" s="530"/>
      <c r="S865" s="530"/>
      <c r="T865" s="530">
        <v>88473.879658980761</v>
      </c>
      <c r="U865" s="530" t="s">
        <v>58</v>
      </c>
    </row>
    <row r="866" spans="1:21" ht="13.8" x14ac:dyDescent="0.3">
      <c r="A866" s="530" t="str">
        <f t="shared" si="22"/>
        <v>North Wales.2020.Accommodation - Bed Spaces.Non-Serviced Accommodation 5</v>
      </c>
      <c r="B866" s="530" t="s">
        <v>220</v>
      </c>
      <c r="C866" s="530" t="str">
        <f t="shared" si="23"/>
        <v>2020.Accommodation - Bed Spaces.Non-Serviced Accommodation 5</v>
      </c>
      <c r="D866" s="530" t="s">
        <v>246</v>
      </c>
      <c r="E866" s="530" t="s">
        <v>164</v>
      </c>
      <c r="F866" s="530" t="s">
        <v>160</v>
      </c>
      <c r="G866" s="530" t="s">
        <v>223</v>
      </c>
      <c r="H866" s="530"/>
      <c r="I866" s="530"/>
      <c r="J866" s="530"/>
      <c r="K866" s="530"/>
      <c r="L866" s="530"/>
      <c r="M866" s="530"/>
      <c r="N866" s="530"/>
      <c r="O866" s="530"/>
      <c r="P866" s="530"/>
      <c r="Q866" s="530"/>
      <c r="R866" s="530"/>
      <c r="S866" s="530"/>
      <c r="T866" s="530" t="s">
        <v>223</v>
      </c>
      <c r="U866" s="530" t="s">
        <v>58</v>
      </c>
    </row>
    <row r="867" spans="1:21" ht="13.8" x14ac:dyDescent="0.3">
      <c r="A867" s="530" t="str">
        <f t="shared" si="22"/>
        <v>North Wales.2020.Accommodation - Bed Spaces.Non-Serviced Accommodation Total</v>
      </c>
      <c r="B867" s="530" t="s">
        <v>220</v>
      </c>
      <c r="C867" s="530" t="str">
        <f t="shared" si="23"/>
        <v>2020.Accommodation - Bed Spaces.Non-Serviced Accommodation Total</v>
      </c>
      <c r="D867" s="530" t="s">
        <v>246</v>
      </c>
      <c r="E867" s="530" t="s">
        <v>164</v>
      </c>
      <c r="F867" s="530" t="s">
        <v>162</v>
      </c>
      <c r="G867" s="530" t="s">
        <v>243</v>
      </c>
      <c r="H867" s="530"/>
      <c r="I867" s="530"/>
      <c r="J867" s="530"/>
      <c r="K867" s="530"/>
      <c r="L867" s="530"/>
      <c r="M867" s="530"/>
      <c r="N867" s="530"/>
      <c r="O867" s="530"/>
      <c r="P867" s="530"/>
      <c r="Q867" s="530"/>
      <c r="R867" s="530"/>
      <c r="S867" s="530"/>
      <c r="T867" s="530">
        <v>181892.50901282451</v>
      </c>
      <c r="U867" s="530" t="s">
        <v>58</v>
      </c>
    </row>
    <row r="868" spans="1:21" ht="13.8" x14ac:dyDescent="0.3">
      <c r="A868" s="530" t="str">
        <f t="shared" si="22"/>
        <v>North Wales.2020.Accommodation - Bed Spaces.All Accommodation Types</v>
      </c>
      <c r="B868" s="530" t="s">
        <v>220</v>
      </c>
      <c r="C868" s="530" t="str">
        <f t="shared" si="23"/>
        <v>2020.Accommodation - Bed Spaces.All Accommodation Types</v>
      </c>
      <c r="D868" s="530" t="s">
        <v>246</v>
      </c>
      <c r="E868" s="530" t="s">
        <v>164</v>
      </c>
      <c r="F868" s="530" t="s">
        <v>163</v>
      </c>
      <c r="G868" s="530" t="s">
        <v>38</v>
      </c>
      <c r="H868" s="530"/>
      <c r="I868" s="530"/>
      <c r="J868" s="530"/>
      <c r="K868" s="530"/>
      <c r="L868" s="530"/>
      <c r="M868" s="530"/>
      <c r="N868" s="530"/>
      <c r="O868" s="530"/>
      <c r="P868" s="530"/>
      <c r="Q868" s="530"/>
      <c r="R868" s="530"/>
      <c r="S868" s="530"/>
      <c r="T868" s="530">
        <v>205602.50901282451</v>
      </c>
      <c r="U868" s="530" t="s">
        <v>58</v>
      </c>
    </row>
    <row r="869" spans="1:21" ht="13.8" x14ac:dyDescent="0.3">
      <c r="A869" s="530" t="str">
        <f t="shared" si="18"/>
        <v>North Wales.2021.Accommodation - Establishments.Serviced Accommodation 1</v>
      </c>
      <c r="B869" s="530" t="s">
        <v>220</v>
      </c>
      <c r="C869" s="530" t="str">
        <f t="shared" si="19"/>
        <v>2021.Accommodation - Establishments.Serviced Accommodation 1</v>
      </c>
      <c r="D869" s="530" t="s">
        <v>247</v>
      </c>
      <c r="E869" s="530" t="s">
        <v>150</v>
      </c>
      <c r="F869" s="530" t="s">
        <v>151</v>
      </c>
      <c r="G869" s="530" t="s">
        <v>235</v>
      </c>
      <c r="H869" s="530"/>
      <c r="I869" s="530"/>
      <c r="J869" s="530"/>
      <c r="K869" s="530"/>
      <c r="L869" s="530"/>
      <c r="M869" s="530"/>
      <c r="N869" s="530"/>
      <c r="O869" s="530"/>
      <c r="P869" s="530"/>
      <c r="Q869" s="530"/>
      <c r="R869" s="530"/>
      <c r="S869" s="530"/>
      <c r="T869" s="530">
        <v>51</v>
      </c>
      <c r="U869" s="530" t="s">
        <v>149</v>
      </c>
    </row>
    <row r="870" spans="1:21" ht="13.8" x14ac:dyDescent="0.3">
      <c r="A870" s="530" t="str">
        <f t="shared" si="18"/>
        <v>North Wales.2021.Accommodation - Establishments.Serviced Accommodation 2</v>
      </c>
      <c r="B870" s="530" t="s">
        <v>220</v>
      </c>
      <c r="C870" s="530" t="str">
        <f t="shared" si="19"/>
        <v>2021.Accommodation - Establishments.Serviced Accommodation 2</v>
      </c>
      <c r="D870" s="530" t="s">
        <v>247</v>
      </c>
      <c r="E870" s="530" t="s">
        <v>150</v>
      </c>
      <c r="F870" s="530" t="s">
        <v>152</v>
      </c>
      <c r="G870" s="530" t="s">
        <v>236</v>
      </c>
      <c r="H870" s="530"/>
      <c r="I870" s="530"/>
      <c r="J870" s="530"/>
      <c r="K870" s="530"/>
      <c r="L870" s="530"/>
      <c r="M870" s="530"/>
      <c r="N870" s="530"/>
      <c r="O870" s="530"/>
      <c r="P870" s="530"/>
      <c r="Q870" s="530"/>
      <c r="R870" s="530"/>
      <c r="S870" s="530"/>
      <c r="T870" s="530">
        <v>192</v>
      </c>
      <c r="U870" s="530" t="s">
        <v>149</v>
      </c>
    </row>
    <row r="871" spans="1:21" ht="13.8" x14ac:dyDescent="0.3">
      <c r="A871" s="530" t="str">
        <f t="shared" si="18"/>
        <v>North Wales.2021.Accommodation - Establishments.Serviced Accommodation 3</v>
      </c>
      <c r="B871" s="530" t="s">
        <v>220</v>
      </c>
      <c r="C871" s="530" t="str">
        <f t="shared" si="19"/>
        <v>2021.Accommodation - Establishments.Serviced Accommodation 3</v>
      </c>
      <c r="D871" s="530" t="s">
        <v>247</v>
      </c>
      <c r="E871" s="530" t="s">
        <v>150</v>
      </c>
      <c r="F871" s="530" t="s">
        <v>153</v>
      </c>
      <c r="G871" s="530" t="s">
        <v>237</v>
      </c>
      <c r="H871" s="530"/>
      <c r="I871" s="530"/>
      <c r="J871" s="530"/>
      <c r="K871" s="530"/>
      <c r="L871" s="530"/>
      <c r="M871" s="530"/>
      <c r="N871" s="530"/>
      <c r="O871" s="530"/>
      <c r="P871" s="530"/>
      <c r="Q871" s="530"/>
      <c r="R871" s="530"/>
      <c r="S871" s="530"/>
      <c r="T871" s="530">
        <v>810</v>
      </c>
      <c r="U871" s="530" t="s">
        <v>149</v>
      </c>
    </row>
    <row r="872" spans="1:21" ht="13.8" x14ac:dyDescent="0.3">
      <c r="A872" s="530" t="str">
        <f t="shared" si="18"/>
        <v>North Wales.2021.Accommodation - Establishments.Serviced Accommodation 4</v>
      </c>
      <c r="B872" s="530" t="s">
        <v>220</v>
      </c>
      <c r="C872" s="530" t="str">
        <f t="shared" si="19"/>
        <v>2021.Accommodation - Establishments.Serviced Accommodation 4</v>
      </c>
      <c r="D872" s="530" t="s">
        <v>247</v>
      </c>
      <c r="E872" s="530" t="s">
        <v>150</v>
      </c>
      <c r="F872" s="530" t="s">
        <v>154</v>
      </c>
      <c r="G872" s="530" t="s">
        <v>223</v>
      </c>
      <c r="H872" s="530"/>
      <c r="I872" s="530"/>
      <c r="J872" s="530"/>
      <c r="K872" s="530"/>
      <c r="L872" s="530"/>
      <c r="M872" s="530"/>
      <c r="N872" s="530"/>
      <c r="O872" s="530"/>
      <c r="P872" s="530"/>
      <c r="Q872" s="530"/>
      <c r="R872" s="530"/>
      <c r="S872" s="530"/>
      <c r="T872" s="530" t="s">
        <v>223</v>
      </c>
      <c r="U872" s="530" t="s">
        <v>149</v>
      </c>
    </row>
    <row r="873" spans="1:21" ht="13.8" x14ac:dyDescent="0.3">
      <c r="A873" s="530" t="str">
        <f t="shared" si="18"/>
        <v>North Wales.2021.Accommodation - Establishments.Serviced Accommodation 5</v>
      </c>
      <c r="B873" s="530" t="s">
        <v>220</v>
      </c>
      <c r="C873" s="530" t="str">
        <f t="shared" si="19"/>
        <v>2021.Accommodation - Establishments.Serviced Accommodation 5</v>
      </c>
      <c r="D873" s="530" t="s">
        <v>247</v>
      </c>
      <c r="E873" s="530" t="s">
        <v>150</v>
      </c>
      <c r="F873" s="530" t="s">
        <v>155</v>
      </c>
      <c r="G873" s="530" t="s">
        <v>223</v>
      </c>
      <c r="H873" s="530"/>
      <c r="I873" s="530"/>
      <c r="J873" s="530"/>
      <c r="K873" s="530"/>
      <c r="L873" s="530"/>
      <c r="M873" s="530"/>
      <c r="N873" s="530"/>
      <c r="O873" s="530"/>
      <c r="P873" s="530"/>
      <c r="Q873" s="530"/>
      <c r="R873" s="530"/>
      <c r="S873" s="530"/>
      <c r="T873" s="530" t="s">
        <v>223</v>
      </c>
      <c r="U873" s="530" t="s">
        <v>149</v>
      </c>
    </row>
    <row r="874" spans="1:21" ht="15" customHeight="1" x14ac:dyDescent="0.3">
      <c r="A874" s="530" t="str">
        <f t="shared" si="18"/>
        <v>North Wales.2021.Accommodation - Establishments.Serviced Accommodation Total</v>
      </c>
      <c r="B874" s="530" t="s">
        <v>220</v>
      </c>
      <c r="C874" s="530" t="str">
        <f t="shared" si="19"/>
        <v>2021.Accommodation - Establishments.Serviced Accommodation Total</v>
      </c>
      <c r="D874" s="530" t="s">
        <v>247</v>
      </c>
      <c r="E874" s="530" t="s">
        <v>150</v>
      </c>
      <c r="F874" s="530" t="s">
        <v>161</v>
      </c>
      <c r="G874" s="530" t="s">
        <v>238</v>
      </c>
      <c r="H874" s="530"/>
      <c r="I874" s="530"/>
      <c r="J874" s="530"/>
      <c r="K874" s="530"/>
      <c r="L874" s="530"/>
      <c r="M874" s="530"/>
      <c r="N874" s="530"/>
      <c r="O874" s="530"/>
      <c r="P874" s="530"/>
      <c r="Q874" s="530"/>
      <c r="R874" s="530"/>
      <c r="S874" s="530"/>
      <c r="T874" s="530">
        <v>1053</v>
      </c>
      <c r="U874" s="530" t="s">
        <v>149</v>
      </c>
    </row>
    <row r="875" spans="1:21" ht="15" customHeight="1" x14ac:dyDescent="0.3">
      <c r="A875" s="530" t="str">
        <f t="shared" si="18"/>
        <v>North Wales.2021.Accommodation - Establishments.Non-Serviced Accommodation 1</v>
      </c>
      <c r="B875" s="530" t="s">
        <v>220</v>
      </c>
      <c r="C875" s="530" t="str">
        <f t="shared" si="19"/>
        <v>2021.Accommodation - Establishments.Non-Serviced Accommodation 1</v>
      </c>
      <c r="D875" s="530" t="s">
        <v>247</v>
      </c>
      <c r="E875" s="530" t="s">
        <v>150</v>
      </c>
      <c r="F875" s="530" t="s">
        <v>156</v>
      </c>
      <c r="G875" s="530" t="s">
        <v>239</v>
      </c>
      <c r="H875" s="530"/>
      <c r="I875" s="530"/>
      <c r="J875" s="530"/>
      <c r="K875" s="530"/>
      <c r="L875" s="530"/>
      <c r="M875" s="530"/>
      <c r="N875" s="530"/>
      <c r="O875" s="530"/>
      <c r="P875" s="530"/>
      <c r="Q875" s="530"/>
      <c r="R875" s="530"/>
      <c r="S875" s="530"/>
      <c r="T875" s="530">
        <v>3633</v>
      </c>
      <c r="U875" s="530" t="s">
        <v>149</v>
      </c>
    </row>
    <row r="876" spans="1:21" ht="15" customHeight="1" x14ac:dyDescent="0.3">
      <c r="A876" s="530" t="str">
        <f t="shared" si="18"/>
        <v>North Wales.2021.Accommodation - Establishments.Non-Serviced Accommodation 2</v>
      </c>
      <c r="B876" s="530" t="s">
        <v>220</v>
      </c>
      <c r="C876" s="530" t="str">
        <f t="shared" si="19"/>
        <v>2021.Accommodation - Establishments.Non-Serviced Accommodation 2</v>
      </c>
      <c r="D876" s="530" t="s">
        <v>247</v>
      </c>
      <c r="E876" s="530" t="s">
        <v>150</v>
      </c>
      <c r="F876" s="530" t="s">
        <v>157</v>
      </c>
      <c r="G876" s="530" t="s">
        <v>240</v>
      </c>
      <c r="H876" s="530"/>
      <c r="I876" s="530"/>
      <c r="J876" s="530"/>
      <c r="K876" s="530"/>
      <c r="L876" s="530"/>
      <c r="M876" s="530"/>
      <c r="N876" s="530"/>
      <c r="O876" s="530"/>
      <c r="P876" s="530"/>
      <c r="Q876" s="530"/>
      <c r="R876" s="530"/>
      <c r="S876" s="530"/>
      <c r="T876" s="530">
        <v>328</v>
      </c>
      <c r="U876" s="530" t="s">
        <v>149</v>
      </c>
    </row>
    <row r="877" spans="1:21" ht="15" customHeight="1" x14ac:dyDescent="0.3">
      <c r="A877" s="530" t="str">
        <f t="shared" si="18"/>
        <v>North Wales.2021.Accommodation - Establishments.Non-Serviced Accommodation 3</v>
      </c>
      <c r="B877" s="530" t="s">
        <v>220</v>
      </c>
      <c r="C877" s="530" t="str">
        <f t="shared" si="19"/>
        <v>2021.Accommodation - Establishments.Non-Serviced Accommodation 3</v>
      </c>
      <c r="D877" s="530" t="s">
        <v>247</v>
      </c>
      <c r="E877" s="530" t="s">
        <v>150</v>
      </c>
      <c r="F877" s="530" t="s">
        <v>158</v>
      </c>
      <c r="G877" s="530" t="s">
        <v>241</v>
      </c>
      <c r="H877" s="530"/>
      <c r="I877" s="530"/>
      <c r="J877" s="530"/>
      <c r="K877" s="530"/>
      <c r="L877" s="530"/>
      <c r="M877" s="530"/>
      <c r="N877" s="530"/>
      <c r="O877" s="530"/>
      <c r="P877" s="530"/>
      <c r="Q877" s="530"/>
      <c r="R877" s="530"/>
      <c r="S877" s="530"/>
      <c r="T877" s="530">
        <v>408</v>
      </c>
      <c r="U877" s="530" t="s">
        <v>149</v>
      </c>
    </row>
    <row r="878" spans="1:21" ht="15" customHeight="1" x14ac:dyDescent="0.3">
      <c r="A878" s="530" t="str">
        <f t="shared" si="18"/>
        <v>North Wales.2021.Accommodation - Establishments.Non-Serviced Accommodation 4</v>
      </c>
      <c r="B878" s="530" t="s">
        <v>220</v>
      </c>
      <c r="C878" s="530" t="str">
        <f t="shared" si="19"/>
        <v>2021.Accommodation - Establishments.Non-Serviced Accommodation 4</v>
      </c>
      <c r="D878" s="530" t="s">
        <v>247</v>
      </c>
      <c r="E878" s="530" t="s">
        <v>150</v>
      </c>
      <c r="F878" s="530" t="s">
        <v>159</v>
      </c>
      <c r="G878" s="530" t="s">
        <v>242</v>
      </c>
      <c r="H878" s="530"/>
      <c r="I878" s="530"/>
      <c r="J878" s="530"/>
      <c r="K878" s="530"/>
      <c r="L878" s="530"/>
      <c r="M878" s="530"/>
      <c r="N878" s="530"/>
      <c r="O878" s="530"/>
      <c r="P878" s="530"/>
      <c r="Q878" s="530"/>
      <c r="R878" s="530"/>
      <c r="S878" s="530"/>
      <c r="T878" s="530">
        <v>0</v>
      </c>
      <c r="U878" s="530" t="s">
        <v>149</v>
      </c>
    </row>
    <row r="879" spans="1:21" ht="15" customHeight="1" x14ac:dyDescent="0.3">
      <c r="A879" s="530" t="str">
        <f t="shared" si="18"/>
        <v>North Wales.2021.Accommodation - Establishments.Non-Serviced Accommodation 5</v>
      </c>
      <c r="B879" s="530" t="s">
        <v>220</v>
      </c>
      <c r="C879" s="530" t="str">
        <f t="shared" si="19"/>
        <v>2021.Accommodation - Establishments.Non-Serviced Accommodation 5</v>
      </c>
      <c r="D879" s="530" t="s">
        <v>247</v>
      </c>
      <c r="E879" s="530" t="s">
        <v>150</v>
      </c>
      <c r="F879" s="530" t="s">
        <v>160</v>
      </c>
      <c r="G879" s="530" t="s">
        <v>223</v>
      </c>
      <c r="H879" s="530"/>
      <c r="I879" s="530"/>
      <c r="J879" s="530"/>
      <c r="K879" s="530"/>
      <c r="L879" s="530"/>
      <c r="M879" s="530"/>
      <c r="N879" s="530"/>
      <c r="O879" s="530"/>
      <c r="P879" s="530"/>
      <c r="Q879" s="530"/>
      <c r="R879" s="530"/>
      <c r="S879" s="530"/>
      <c r="T879" s="530" t="s">
        <v>223</v>
      </c>
      <c r="U879" s="530" t="s">
        <v>149</v>
      </c>
    </row>
    <row r="880" spans="1:21" ht="15" customHeight="1" x14ac:dyDescent="0.3">
      <c r="A880" s="530" t="str">
        <f t="shared" si="18"/>
        <v>North Wales.2021.Accommodation - Establishments.Non-Serviced Accommodation Total</v>
      </c>
      <c r="B880" s="530" t="s">
        <v>220</v>
      </c>
      <c r="C880" s="530" t="str">
        <f t="shared" si="19"/>
        <v>2021.Accommodation - Establishments.Non-Serviced Accommodation Total</v>
      </c>
      <c r="D880" s="530" t="s">
        <v>247</v>
      </c>
      <c r="E880" s="530" t="s">
        <v>150</v>
      </c>
      <c r="F880" s="530" t="s">
        <v>162</v>
      </c>
      <c r="G880" s="530" t="s">
        <v>243</v>
      </c>
      <c r="H880" s="530"/>
      <c r="I880" s="530"/>
      <c r="J880" s="530"/>
      <c r="K880" s="530"/>
      <c r="L880" s="530"/>
      <c r="M880" s="530"/>
      <c r="N880" s="530"/>
      <c r="O880" s="530"/>
      <c r="P880" s="530"/>
      <c r="Q880" s="530"/>
      <c r="R880" s="530"/>
      <c r="S880" s="530"/>
      <c r="T880" s="530">
        <v>4369</v>
      </c>
      <c r="U880" s="530" t="s">
        <v>149</v>
      </c>
    </row>
    <row r="881" spans="1:21" ht="15" customHeight="1" x14ac:dyDescent="0.3">
      <c r="A881" s="530" t="str">
        <f t="shared" si="18"/>
        <v>North Wales.2021.Accommodation - Establishments.All Accommodation Types</v>
      </c>
      <c r="B881" s="530" t="s">
        <v>220</v>
      </c>
      <c r="C881" s="530" t="str">
        <f t="shared" si="19"/>
        <v>2021.Accommodation - Establishments.All Accommodation Types</v>
      </c>
      <c r="D881" s="530" t="s">
        <v>247</v>
      </c>
      <c r="E881" s="530" t="s">
        <v>150</v>
      </c>
      <c r="F881" s="530" t="s">
        <v>163</v>
      </c>
      <c r="G881" s="530" t="s">
        <v>38</v>
      </c>
      <c r="H881" s="530"/>
      <c r="I881" s="530"/>
      <c r="J881" s="530"/>
      <c r="K881" s="530"/>
      <c r="L881" s="530"/>
      <c r="M881" s="530"/>
      <c r="N881" s="530"/>
      <c r="O881" s="530"/>
      <c r="P881" s="530"/>
      <c r="Q881" s="530"/>
      <c r="R881" s="530"/>
      <c r="S881" s="530"/>
      <c r="T881" s="530">
        <v>5422</v>
      </c>
      <c r="U881" s="530" t="s">
        <v>149</v>
      </c>
    </row>
    <row r="882" spans="1:21" ht="13.8" x14ac:dyDescent="0.3">
      <c r="A882" s="530" t="str">
        <f t="shared" si="18"/>
        <v>North Wales.2021.Accommodation - Bed Spaces.Serviced Accommodation 1</v>
      </c>
      <c r="B882" s="530" t="s">
        <v>220</v>
      </c>
      <c r="C882" s="530" t="str">
        <f t="shared" si="19"/>
        <v>2021.Accommodation - Bed Spaces.Serviced Accommodation 1</v>
      </c>
      <c r="D882" s="530" t="s">
        <v>247</v>
      </c>
      <c r="E882" s="530" t="s">
        <v>164</v>
      </c>
      <c r="F882" s="530" t="s">
        <v>151</v>
      </c>
      <c r="G882" s="530" t="s">
        <v>235</v>
      </c>
      <c r="H882" s="530"/>
      <c r="I882" s="530"/>
      <c r="J882" s="530"/>
      <c r="K882" s="530"/>
      <c r="L882" s="530"/>
      <c r="M882" s="530"/>
      <c r="N882" s="530"/>
      <c r="O882" s="530"/>
      <c r="P882" s="530"/>
      <c r="Q882" s="530"/>
      <c r="R882" s="530"/>
      <c r="S882" s="530"/>
      <c r="T882" s="530">
        <v>8219</v>
      </c>
      <c r="U882" s="530" t="s">
        <v>58</v>
      </c>
    </row>
    <row r="883" spans="1:21" ht="13.8" x14ac:dyDescent="0.3">
      <c r="A883" s="530" t="str">
        <f t="shared" si="18"/>
        <v>North Wales.2021.Accommodation - Bed Spaces.Serviced Accommodation 2</v>
      </c>
      <c r="B883" s="530" t="s">
        <v>220</v>
      </c>
      <c r="C883" s="530" t="str">
        <f t="shared" si="19"/>
        <v>2021.Accommodation - Bed Spaces.Serviced Accommodation 2</v>
      </c>
      <c r="D883" s="530" t="s">
        <v>247</v>
      </c>
      <c r="E883" s="530" t="s">
        <v>164</v>
      </c>
      <c r="F883" s="530" t="s">
        <v>152</v>
      </c>
      <c r="G883" s="530" t="s">
        <v>236</v>
      </c>
      <c r="H883" s="530"/>
      <c r="I883" s="530"/>
      <c r="J883" s="530"/>
      <c r="K883" s="530"/>
      <c r="L883" s="530"/>
      <c r="M883" s="530"/>
      <c r="N883" s="530"/>
      <c r="O883" s="530"/>
      <c r="P883" s="530"/>
      <c r="Q883" s="530"/>
      <c r="R883" s="530"/>
      <c r="S883" s="530"/>
      <c r="T883" s="530">
        <v>8644</v>
      </c>
      <c r="U883" s="530" t="s">
        <v>58</v>
      </c>
    </row>
    <row r="884" spans="1:21" ht="13.8" x14ac:dyDescent="0.3">
      <c r="A884" s="530" t="str">
        <f t="shared" si="18"/>
        <v>North Wales.2021.Accommodation - Bed Spaces.Serviced Accommodation 3</v>
      </c>
      <c r="B884" s="530" t="s">
        <v>220</v>
      </c>
      <c r="C884" s="530" t="str">
        <f t="shared" si="19"/>
        <v>2021.Accommodation - Bed Spaces.Serviced Accommodation 3</v>
      </c>
      <c r="D884" s="530" t="s">
        <v>247</v>
      </c>
      <c r="E884" s="530" t="s">
        <v>164</v>
      </c>
      <c r="F884" s="530" t="s">
        <v>153</v>
      </c>
      <c r="G884" s="530" t="s">
        <v>237</v>
      </c>
      <c r="H884" s="530"/>
      <c r="I884" s="530"/>
      <c r="J884" s="530"/>
      <c r="K884" s="530"/>
      <c r="L884" s="530"/>
      <c r="M884" s="530"/>
      <c r="N884" s="530"/>
      <c r="O884" s="530"/>
      <c r="P884" s="530"/>
      <c r="Q884" s="530"/>
      <c r="R884" s="530"/>
      <c r="S884" s="530"/>
      <c r="T884" s="530">
        <v>8268</v>
      </c>
      <c r="U884" s="530" t="s">
        <v>58</v>
      </c>
    </row>
    <row r="885" spans="1:21" ht="13.8" x14ac:dyDescent="0.3">
      <c r="A885" s="530" t="str">
        <f t="shared" si="18"/>
        <v>North Wales.2021.Accommodation - Bed Spaces.Serviced Accommodation 4</v>
      </c>
      <c r="B885" s="530" t="s">
        <v>220</v>
      </c>
      <c r="C885" s="530" t="str">
        <f t="shared" si="19"/>
        <v>2021.Accommodation - Bed Spaces.Serviced Accommodation 4</v>
      </c>
      <c r="D885" s="530" t="s">
        <v>247</v>
      </c>
      <c r="E885" s="530" t="s">
        <v>164</v>
      </c>
      <c r="F885" s="530" t="s">
        <v>154</v>
      </c>
      <c r="G885" s="530" t="s">
        <v>223</v>
      </c>
      <c r="H885" s="530"/>
      <c r="I885" s="530"/>
      <c r="J885" s="530"/>
      <c r="K885" s="530"/>
      <c r="L885" s="530"/>
      <c r="M885" s="530"/>
      <c r="N885" s="530"/>
      <c r="O885" s="530"/>
      <c r="P885" s="530"/>
      <c r="Q885" s="530"/>
      <c r="R885" s="530"/>
      <c r="S885" s="530"/>
      <c r="T885" s="530" t="s">
        <v>223</v>
      </c>
      <c r="U885" s="530" t="s">
        <v>58</v>
      </c>
    </row>
    <row r="886" spans="1:21" ht="13.8" x14ac:dyDescent="0.3">
      <c r="A886" s="530" t="str">
        <f t="shared" si="18"/>
        <v>North Wales.2021.Accommodation - Bed Spaces.Serviced Accommodation 5</v>
      </c>
      <c r="B886" s="530" t="s">
        <v>220</v>
      </c>
      <c r="C886" s="530" t="str">
        <f t="shared" si="19"/>
        <v>2021.Accommodation - Bed Spaces.Serviced Accommodation 5</v>
      </c>
      <c r="D886" s="530" t="s">
        <v>247</v>
      </c>
      <c r="E886" s="530" t="s">
        <v>164</v>
      </c>
      <c r="F886" s="530" t="s">
        <v>155</v>
      </c>
      <c r="G886" s="530" t="s">
        <v>223</v>
      </c>
      <c r="H886" s="530"/>
      <c r="I886" s="530"/>
      <c r="J886" s="530"/>
      <c r="K886" s="530"/>
      <c r="L886" s="530"/>
      <c r="M886" s="530"/>
      <c r="N886" s="530"/>
      <c r="O886" s="530"/>
      <c r="P886" s="530"/>
      <c r="Q886" s="530"/>
      <c r="R886" s="530"/>
      <c r="S886" s="530"/>
      <c r="T886" s="530" t="s">
        <v>223</v>
      </c>
      <c r="U886" s="530" t="s">
        <v>58</v>
      </c>
    </row>
    <row r="887" spans="1:21" ht="13.8" x14ac:dyDescent="0.3">
      <c r="A887" s="530" t="str">
        <f t="shared" si="18"/>
        <v>North Wales.2021.Accommodation - Bed Spaces.Serviced Accommodation Total</v>
      </c>
      <c r="B887" s="530" t="s">
        <v>220</v>
      </c>
      <c r="C887" s="530" t="str">
        <f t="shared" si="19"/>
        <v>2021.Accommodation - Bed Spaces.Serviced Accommodation Total</v>
      </c>
      <c r="D887" s="530" t="s">
        <v>247</v>
      </c>
      <c r="E887" s="530" t="s">
        <v>164</v>
      </c>
      <c r="F887" s="530" t="s">
        <v>161</v>
      </c>
      <c r="G887" s="530" t="s">
        <v>238</v>
      </c>
      <c r="H887" s="530"/>
      <c r="I887" s="530"/>
      <c r="J887" s="530"/>
      <c r="K887" s="530"/>
      <c r="L887" s="530"/>
      <c r="M887" s="530"/>
      <c r="N887" s="530"/>
      <c r="O887" s="530"/>
      <c r="P887" s="530"/>
      <c r="Q887" s="530"/>
      <c r="R887" s="530"/>
      <c r="S887" s="530"/>
      <c r="T887" s="530">
        <v>25131</v>
      </c>
      <c r="U887" s="530" t="s">
        <v>58</v>
      </c>
    </row>
    <row r="888" spans="1:21" ht="13.8" x14ac:dyDescent="0.3">
      <c r="A888" s="530" t="str">
        <f t="shared" si="18"/>
        <v>North Wales.2021.Accommodation - Bed Spaces.Non-Serviced Accommodation 1</v>
      </c>
      <c r="B888" s="530" t="s">
        <v>220</v>
      </c>
      <c r="C888" s="530" t="str">
        <f t="shared" si="19"/>
        <v>2021.Accommodation - Bed Spaces.Non-Serviced Accommodation 1</v>
      </c>
      <c r="D888" s="530" t="s">
        <v>247</v>
      </c>
      <c r="E888" s="530" t="s">
        <v>164</v>
      </c>
      <c r="F888" s="530" t="s">
        <v>156</v>
      </c>
      <c r="G888" s="530" t="s">
        <v>239</v>
      </c>
      <c r="H888" s="530"/>
      <c r="I888" s="530"/>
      <c r="J888" s="530"/>
      <c r="K888" s="530"/>
      <c r="L888" s="530"/>
      <c r="M888" s="530"/>
      <c r="N888" s="530"/>
      <c r="O888" s="530"/>
      <c r="P888" s="530"/>
      <c r="Q888" s="530"/>
      <c r="R888" s="530"/>
      <c r="S888" s="530"/>
      <c r="T888" s="530">
        <v>35101</v>
      </c>
      <c r="U888" s="530" t="s">
        <v>58</v>
      </c>
    </row>
    <row r="889" spans="1:21" ht="13.8" x14ac:dyDescent="0.3">
      <c r="A889" s="530" t="str">
        <f t="shared" si="18"/>
        <v>North Wales.2021.Accommodation - Bed Spaces.Non-Serviced Accommodation 2</v>
      </c>
      <c r="B889" s="530" t="s">
        <v>220</v>
      </c>
      <c r="C889" s="530" t="str">
        <f t="shared" si="19"/>
        <v>2021.Accommodation - Bed Spaces.Non-Serviced Accommodation 2</v>
      </c>
      <c r="D889" s="530" t="s">
        <v>247</v>
      </c>
      <c r="E889" s="530" t="s">
        <v>164</v>
      </c>
      <c r="F889" s="530" t="s">
        <v>157</v>
      </c>
      <c r="G889" s="530" t="s">
        <v>240</v>
      </c>
      <c r="H889" s="530"/>
      <c r="I889" s="530"/>
      <c r="J889" s="530"/>
      <c r="K889" s="530"/>
      <c r="L889" s="530"/>
      <c r="M889" s="530"/>
      <c r="N889" s="530"/>
      <c r="O889" s="530"/>
      <c r="P889" s="530"/>
      <c r="Q889" s="530"/>
      <c r="R889" s="530"/>
      <c r="S889" s="530"/>
      <c r="T889" s="530">
        <v>24327.80200927483</v>
      </c>
      <c r="U889" s="530" t="s">
        <v>58</v>
      </c>
    </row>
    <row r="890" spans="1:21" ht="13.8" x14ac:dyDescent="0.3">
      <c r="A890" s="530" t="str">
        <f t="shared" si="18"/>
        <v>North Wales.2021.Accommodation - Bed Spaces.Non-Serviced Accommodation 3</v>
      </c>
      <c r="B890" s="530" t="s">
        <v>220</v>
      </c>
      <c r="C890" s="530" t="str">
        <f t="shared" si="19"/>
        <v>2021.Accommodation - Bed Spaces.Non-Serviced Accommodation 3</v>
      </c>
      <c r="D890" s="530" t="s">
        <v>247</v>
      </c>
      <c r="E890" s="530" t="s">
        <v>164</v>
      </c>
      <c r="F890" s="530" t="s">
        <v>158</v>
      </c>
      <c r="G890" s="530" t="s">
        <v>241</v>
      </c>
      <c r="H890" s="530"/>
      <c r="I890" s="530"/>
      <c r="J890" s="530"/>
      <c r="K890" s="530"/>
      <c r="L890" s="530"/>
      <c r="M890" s="530"/>
      <c r="N890" s="530"/>
      <c r="O890" s="530"/>
      <c r="P890" s="530"/>
      <c r="Q890" s="530"/>
      <c r="R890" s="530"/>
      <c r="S890" s="530"/>
      <c r="T890" s="530">
        <v>51417</v>
      </c>
      <c r="U890" s="530" t="s">
        <v>58</v>
      </c>
    </row>
    <row r="891" spans="1:21" ht="13.8" x14ac:dyDescent="0.3">
      <c r="A891" s="530" t="str">
        <f t="shared" si="18"/>
        <v>North Wales.2021.Accommodation - Bed Spaces.Non-Serviced Accommodation 4</v>
      </c>
      <c r="B891" s="530" t="s">
        <v>220</v>
      </c>
      <c r="C891" s="530" t="str">
        <f t="shared" si="19"/>
        <v>2021.Accommodation - Bed Spaces.Non-Serviced Accommodation 4</v>
      </c>
      <c r="D891" s="530" t="s">
        <v>247</v>
      </c>
      <c r="E891" s="530" t="s">
        <v>164</v>
      </c>
      <c r="F891" s="530" t="s">
        <v>159</v>
      </c>
      <c r="G891" s="530" t="s">
        <v>242</v>
      </c>
      <c r="H891" s="530"/>
      <c r="I891" s="530"/>
      <c r="J891" s="530"/>
      <c r="K891" s="530"/>
      <c r="L891" s="530"/>
      <c r="M891" s="530"/>
      <c r="N891" s="530"/>
      <c r="O891" s="530"/>
      <c r="P891" s="530"/>
      <c r="Q891" s="530"/>
      <c r="R891" s="530"/>
      <c r="S891" s="530"/>
      <c r="T891" s="530">
        <v>112927.47944103208</v>
      </c>
      <c r="U891" s="530" t="s">
        <v>58</v>
      </c>
    </row>
    <row r="892" spans="1:21" ht="13.8" x14ac:dyDescent="0.3">
      <c r="A892" s="530" t="str">
        <f t="shared" si="18"/>
        <v>North Wales.2021.Accommodation - Bed Spaces.Non-Serviced Accommodation 5</v>
      </c>
      <c r="B892" s="530" t="s">
        <v>220</v>
      </c>
      <c r="C892" s="530" t="str">
        <f t="shared" si="19"/>
        <v>2021.Accommodation - Bed Spaces.Non-Serviced Accommodation 5</v>
      </c>
      <c r="D892" s="530" t="s">
        <v>247</v>
      </c>
      <c r="E892" s="530" t="s">
        <v>164</v>
      </c>
      <c r="F892" s="530" t="s">
        <v>160</v>
      </c>
      <c r="G892" s="530" t="s">
        <v>223</v>
      </c>
      <c r="H892" s="530"/>
      <c r="I892" s="530"/>
      <c r="J892" s="530"/>
      <c r="K892" s="530"/>
      <c r="L892" s="530"/>
      <c r="M892" s="530"/>
      <c r="N892" s="530"/>
      <c r="O892" s="530"/>
      <c r="P892" s="530"/>
      <c r="Q892" s="530"/>
      <c r="R892" s="530"/>
      <c r="S892" s="530"/>
      <c r="T892" s="530" t="s">
        <v>223</v>
      </c>
      <c r="U892" s="530" t="s">
        <v>58</v>
      </c>
    </row>
    <row r="893" spans="1:21" ht="13.8" x14ac:dyDescent="0.3">
      <c r="A893" s="530" t="str">
        <f t="shared" si="18"/>
        <v>North Wales.2021.Accommodation - Bed Spaces.Non-Serviced Accommodation Total</v>
      </c>
      <c r="B893" s="530" t="s">
        <v>220</v>
      </c>
      <c r="C893" s="530" t="str">
        <f t="shared" si="19"/>
        <v>2021.Accommodation - Bed Spaces.Non-Serviced Accommodation Total</v>
      </c>
      <c r="D893" s="530" t="s">
        <v>247</v>
      </c>
      <c r="E893" s="530" t="s">
        <v>164</v>
      </c>
      <c r="F893" s="530" t="s">
        <v>162</v>
      </c>
      <c r="G893" s="530" t="s">
        <v>243</v>
      </c>
      <c r="H893" s="530"/>
      <c r="I893" s="530"/>
      <c r="J893" s="530"/>
      <c r="K893" s="530"/>
      <c r="L893" s="530"/>
      <c r="M893" s="530"/>
      <c r="N893" s="530"/>
      <c r="O893" s="530"/>
      <c r="P893" s="530"/>
      <c r="Q893" s="530"/>
      <c r="R893" s="530"/>
      <c r="S893" s="530"/>
      <c r="T893" s="530">
        <v>223773.28145030691</v>
      </c>
      <c r="U893" s="530" t="s">
        <v>58</v>
      </c>
    </row>
    <row r="894" spans="1:21" ht="13.8" x14ac:dyDescent="0.3">
      <c r="A894" s="530" t="str">
        <f t="shared" si="18"/>
        <v>North Wales.2021.Accommodation - Bed Spaces.All Accommodation Types</v>
      </c>
      <c r="B894" s="530" t="s">
        <v>220</v>
      </c>
      <c r="C894" s="530" t="str">
        <f t="shared" si="19"/>
        <v>2021.Accommodation - Bed Spaces.All Accommodation Types</v>
      </c>
      <c r="D894" s="530" t="s">
        <v>247</v>
      </c>
      <c r="E894" s="530" t="s">
        <v>164</v>
      </c>
      <c r="F894" s="530" t="s">
        <v>163</v>
      </c>
      <c r="G894" s="530" t="s">
        <v>38</v>
      </c>
      <c r="H894" s="530"/>
      <c r="I894" s="530"/>
      <c r="J894" s="530"/>
      <c r="K894" s="530"/>
      <c r="L894" s="530"/>
      <c r="M894" s="530"/>
      <c r="N894" s="530"/>
      <c r="O894" s="530"/>
      <c r="P894" s="530"/>
      <c r="Q894" s="530"/>
      <c r="R894" s="530"/>
      <c r="S894" s="530"/>
      <c r="T894" s="530">
        <v>248904.28145030691</v>
      </c>
      <c r="U894" s="530" t="s">
        <v>58</v>
      </c>
    </row>
    <row r="895" spans="1:21" ht="13.8" x14ac:dyDescent="0.3">
      <c r="A895" s="530" t="str">
        <f t="shared" ref="A895" si="24">B895&amp;"."&amp;D895&amp;"."&amp;E895&amp;"."&amp;F895</f>
        <v>North Wales.2022.Accommodation - Establishments.Serviced Accommodation 1</v>
      </c>
      <c r="B895" s="530" t="s">
        <v>220</v>
      </c>
      <c r="C895" s="530" t="str">
        <f t="shared" ref="C895" si="25">D895&amp;"."&amp;E895&amp;"."&amp;F895</f>
        <v>2022.Accommodation - Establishments.Serviced Accommodation 1</v>
      </c>
      <c r="D895" s="530" t="s">
        <v>248</v>
      </c>
      <c r="E895" s="530" t="s">
        <v>150</v>
      </c>
      <c r="F895" s="530" t="s">
        <v>151</v>
      </c>
      <c r="G895" s="530" t="s">
        <v>235</v>
      </c>
      <c r="H895" s="530"/>
      <c r="I895" s="530"/>
      <c r="J895" s="530"/>
      <c r="K895" s="530"/>
      <c r="L895" s="530"/>
      <c r="M895" s="530"/>
      <c r="N895" s="530"/>
      <c r="O895" s="530"/>
      <c r="P895" s="530"/>
      <c r="Q895" s="530"/>
      <c r="R895" s="530"/>
      <c r="S895" s="530"/>
      <c r="T895" s="530">
        <v>49</v>
      </c>
      <c r="U895" s="530" t="s">
        <v>149</v>
      </c>
    </row>
    <row r="896" spans="1:21" ht="13.8" x14ac:dyDescent="0.3">
      <c r="A896" s="530" t="str">
        <f t="shared" ref="A896:A900" si="26">B896&amp;"."&amp;D896&amp;"."&amp;E896&amp;"."&amp;F896</f>
        <v>North Wales.2022.Accommodation - Establishments.Serviced Accommodation 2</v>
      </c>
      <c r="B896" s="530" t="s">
        <v>220</v>
      </c>
      <c r="C896" s="530" t="str">
        <f t="shared" ref="C896:C900" si="27">D896&amp;"."&amp;E896&amp;"."&amp;F896</f>
        <v>2022.Accommodation - Establishments.Serviced Accommodation 2</v>
      </c>
      <c r="D896" s="530" t="s">
        <v>248</v>
      </c>
      <c r="E896" s="530" t="s">
        <v>150</v>
      </c>
      <c r="F896" s="530" t="s">
        <v>152</v>
      </c>
      <c r="G896" s="530" t="s">
        <v>236</v>
      </c>
      <c r="H896" s="530"/>
      <c r="I896" s="530"/>
      <c r="J896" s="530"/>
      <c r="K896" s="530"/>
      <c r="L896" s="530"/>
      <c r="M896" s="530"/>
      <c r="N896" s="530"/>
      <c r="O896" s="530"/>
      <c r="P896" s="530"/>
      <c r="Q896" s="530"/>
      <c r="R896" s="530"/>
      <c r="S896" s="530"/>
      <c r="T896" s="530">
        <v>191</v>
      </c>
      <c r="U896" s="530" t="s">
        <v>149</v>
      </c>
    </row>
    <row r="897" spans="1:21" ht="13.8" x14ac:dyDescent="0.3">
      <c r="A897" s="530" t="str">
        <f t="shared" si="26"/>
        <v>North Wales.2022.Accommodation - Establishments.Serviced Accommodation 3</v>
      </c>
      <c r="B897" s="530" t="s">
        <v>220</v>
      </c>
      <c r="C897" s="530" t="str">
        <f t="shared" si="27"/>
        <v>2022.Accommodation - Establishments.Serviced Accommodation 3</v>
      </c>
      <c r="D897" s="530" t="s">
        <v>248</v>
      </c>
      <c r="E897" s="530" t="s">
        <v>150</v>
      </c>
      <c r="F897" s="530" t="s">
        <v>153</v>
      </c>
      <c r="G897" s="530" t="s">
        <v>237</v>
      </c>
      <c r="H897" s="530"/>
      <c r="I897" s="530"/>
      <c r="J897" s="530"/>
      <c r="K897" s="530"/>
      <c r="L897" s="530"/>
      <c r="M897" s="530"/>
      <c r="N897" s="530"/>
      <c r="O897" s="530"/>
      <c r="P897" s="530"/>
      <c r="Q897" s="530"/>
      <c r="R897" s="530"/>
      <c r="S897" s="530"/>
      <c r="T897" s="530">
        <v>766</v>
      </c>
      <c r="U897" s="530" t="s">
        <v>149</v>
      </c>
    </row>
    <row r="898" spans="1:21" ht="13.8" x14ac:dyDescent="0.3">
      <c r="A898" s="530" t="str">
        <f t="shared" si="26"/>
        <v>North Wales.2022.Accommodation - Establishments.Serviced Accommodation 4</v>
      </c>
      <c r="B898" s="530" t="s">
        <v>220</v>
      </c>
      <c r="C898" s="530" t="str">
        <f t="shared" si="27"/>
        <v>2022.Accommodation - Establishments.Serviced Accommodation 4</v>
      </c>
      <c r="D898" s="530" t="s">
        <v>248</v>
      </c>
      <c r="E898" s="530" t="s">
        <v>150</v>
      </c>
      <c r="F898" s="530" t="s">
        <v>154</v>
      </c>
      <c r="G898" s="530" t="s">
        <v>223</v>
      </c>
      <c r="H898" s="530"/>
      <c r="I898" s="530"/>
      <c r="J898" s="530"/>
      <c r="K898" s="530"/>
      <c r="L898" s="530"/>
      <c r="M898" s="530"/>
      <c r="N898" s="530"/>
      <c r="O898" s="530"/>
      <c r="P898" s="530"/>
      <c r="Q898" s="530"/>
      <c r="R898" s="530"/>
      <c r="S898" s="530"/>
      <c r="T898" s="530" t="s">
        <v>223</v>
      </c>
      <c r="U898" s="530" t="s">
        <v>149</v>
      </c>
    </row>
    <row r="899" spans="1:21" ht="13.8" x14ac:dyDescent="0.3">
      <c r="A899" s="530" t="str">
        <f t="shared" si="26"/>
        <v>North Wales.2022.Accommodation - Establishments.Serviced Accommodation 5</v>
      </c>
      <c r="B899" s="530" t="s">
        <v>220</v>
      </c>
      <c r="C899" s="530" t="str">
        <f t="shared" si="27"/>
        <v>2022.Accommodation - Establishments.Serviced Accommodation 5</v>
      </c>
      <c r="D899" s="530" t="s">
        <v>248</v>
      </c>
      <c r="E899" s="530" t="s">
        <v>150</v>
      </c>
      <c r="F899" s="530" t="s">
        <v>155</v>
      </c>
      <c r="G899" s="530" t="s">
        <v>223</v>
      </c>
      <c r="H899" s="530"/>
      <c r="I899" s="530"/>
      <c r="J899" s="530"/>
      <c r="K899" s="530"/>
      <c r="L899" s="530"/>
      <c r="M899" s="530"/>
      <c r="N899" s="530"/>
      <c r="O899" s="530"/>
      <c r="P899" s="530"/>
      <c r="Q899" s="530"/>
      <c r="R899" s="530"/>
      <c r="S899" s="530"/>
      <c r="T899" s="530" t="s">
        <v>223</v>
      </c>
      <c r="U899" s="530" t="s">
        <v>149</v>
      </c>
    </row>
    <row r="900" spans="1:21" ht="15" customHeight="1" x14ac:dyDescent="0.3">
      <c r="A900" s="530" t="str">
        <f t="shared" si="26"/>
        <v>North Wales.2022.Accommodation - Establishments.Serviced Accommodation Total</v>
      </c>
      <c r="B900" s="530" t="s">
        <v>220</v>
      </c>
      <c r="C900" s="530" t="str">
        <f t="shared" si="27"/>
        <v>2022.Accommodation - Establishments.Serviced Accommodation Total</v>
      </c>
      <c r="D900" s="530" t="s">
        <v>248</v>
      </c>
      <c r="E900" s="530" t="s">
        <v>150</v>
      </c>
      <c r="F900" s="530" t="s">
        <v>161</v>
      </c>
      <c r="G900" s="530" t="s">
        <v>238</v>
      </c>
      <c r="H900" s="530"/>
      <c r="I900" s="530"/>
      <c r="J900" s="530"/>
      <c r="K900" s="530"/>
      <c r="L900" s="530"/>
      <c r="M900" s="530"/>
      <c r="N900" s="530"/>
      <c r="O900" s="530"/>
      <c r="P900" s="530"/>
      <c r="Q900" s="530"/>
      <c r="R900" s="530"/>
      <c r="S900" s="530"/>
      <c r="T900" s="530">
        <v>1006</v>
      </c>
      <c r="U900" s="530" t="s">
        <v>149</v>
      </c>
    </row>
    <row r="901" spans="1:21" ht="15" customHeight="1" x14ac:dyDescent="0.3">
      <c r="A901" s="530" t="str">
        <f t="shared" ref="A901:A913" si="28">B901&amp;"."&amp;D901&amp;"."&amp;E901&amp;"."&amp;F901</f>
        <v>North Wales.2022.Accommodation - Establishments.Non-Serviced Accommodation 1</v>
      </c>
      <c r="B901" s="530" t="s">
        <v>220</v>
      </c>
      <c r="C901" s="530" t="str">
        <f t="shared" ref="C901:C913" si="29">D901&amp;"."&amp;E901&amp;"."&amp;F901</f>
        <v>2022.Accommodation - Establishments.Non-Serviced Accommodation 1</v>
      </c>
      <c r="D901" s="530" t="s">
        <v>248</v>
      </c>
      <c r="E901" s="530" t="s">
        <v>150</v>
      </c>
      <c r="F901" s="530" t="s">
        <v>156</v>
      </c>
      <c r="G901" s="530" t="s">
        <v>239</v>
      </c>
      <c r="H901" s="530"/>
      <c r="I901" s="530"/>
      <c r="J901" s="530"/>
      <c r="K901" s="530"/>
      <c r="L901" s="530"/>
      <c r="M901" s="530"/>
      <c r="N901" s="530"/>
      <c r="O901" s="530"/>
      <c r="P901" s="530"/>
      <c r="Q901" s="530"/>
      <c r="R901" s="530"/>
      <c r="S901" s="530"/>
      <c r="T901" s="530">
        <v>3793</v>
      </c>
      <c r="U901" s="530" t="s">
        <v>149</v>
      </c>
    </row>
    <row r="902" spans="1:21" ht="15" customHeight="1" x14ac:dyDescent="0.3">
      <c r="A902" s="530" t="str">
        <f t="shared" si="28"/>
        <v>North Wales.2022.Accommodation - Establishments.Non-Serviced Accommodation 2</v>
      </c>
      <c r="B902" s="530" t="s">
        <v>220</v>
      </c>
      <c r="C902" s="530" t="str">
        <f t="shared" si="29"/>
        <v>2022.Accommodation - Establishments.Non-Serviced Accommodation 2</v>
      </c>
      <c r="D902" s="530" t="s">
        <v>248</v>
      </c>
      <c r="E902" s="530" t="s">
        <v>150</v>
      </c>
      <c r="F902" s="530" t="s">
        <v>157</v>
      </c>
      <c r="G902" s="530" t="s">
        <v>240</v>
      </c>
      <c r="H902" s="530"/>
      <c r="I902" s="530"/>
      <c r="J902" s="530"/>
      <c r="K902" s="530"/>
      <c r="L902" s="530"/>
      <c r="M902" s="530"/>
      <c r="N902" s="530"/>
      <c r="O902" s="530"/>
      <c r="P902" s="530"/>
      <c r="Q902" s="530"/>
      <c r="R902" s="530"/>
      <c r="S902" s="530"/>
      <c r="T902" s="530">
        <v>347</v>
      </c>
      <c r="U902" s="530" t="s">
        <v>149</v>
      </c>
    </row>
    <row r="903" spans="1:21" ht="15" customHeight="1" x14ac:dyDescent="0.3">
      <c r="A903" s="530" t="str">
        <f t="shared" si="28"/>
        <v>North Wales.2022.Accommodation - Establishments.Non-Serviced Accommodation 3</v>
      </c>
      <c r="B903" s="530" t="s">
        <v>220</v>
      </c>
      <c r="C903" s="530" t="str">
        <f t="shared" si="29"/>
        <v>2022.Accommodation - Establishments.Non-Serviced Accommodation 3</v>
      </c>
      <c r="D903" s="530" t="s">
        <v>248</v>
      </c>
      <c r="E903" s="530" t="s">
        <v>150</v>
      </c>
      <c r="F903" s="530" t="s">
        <v>158</v>
      </c>
      <c r="G903" s="530" t="s">
        <v>241</v>
      </c>
      <c r="H903" s="530"/>
      <c r="I903" s="530"/>
      <c r="J903" s="530"/>
      <c r="K903" s="530"/>
      <c r="L903" s="530"/>
      <c r="M903" s="530"/>
      <c r="N903" s="530"/>
      <c r="O903" s="530"/>
      <c r="P903" s="530"/>
      <c r="Q903" s="530"/>
      <c r="R903" s="530"/>
      <c r="S903" s="530"/>
      <c r="T903" s="530">
        <v>392</v>
      </c>
      <c r="U903" s="530" t="s">
        <v>149</v>
      </c>
    </row>
    <row r="904" spans="1:21" ht="15" customHeight="1" x14ac:dyDescent="0.3">
      <c r="A904" s="530" t="str">
        <f t="shared" si="28"/>
        <v>North Wales.2022.Accommodation - Establishments.Non-Serviced Accommodation 4</v>
      </c>
      <c r="B904" s="530" t="s">
        <v>220</v>
      </c>
      <c r="C904" s="530" t="str">
        <f t="shared" si="29"/>
        <v>2022.Accommodation - Establishments.Non-Serviced Accommodation 4</v>
      </c>
      <c r="D904" s="530" t="s">
        <v>248</v>
      </c>
      <c r="E904" s="530" t="s">
        <v>150</v>
      </c>
      <c r="F904" s="530" t="s">
        <v>159</v>
      </c>
      <c r="G904" s="530" t="s">
        <v>242</v>
      </c>
      <c r="H904" s="530"/>
      <c r="I904" s="530"/>
      <c r="J904" s="530"/>
      <c r="K904" s="530"/>
      <c r="L904" s="530"/>
      <c r="M904" s="530"/>
      <c r="N904" s="530"/>
      <c r="O904" s="530"/>
      <c r="P904" s="530"/>
      <c r="Q904" s="530"/>
      <c r="R904" s="530"/>
      <c r="S904" s="530"/>
      <c r="T904" s="530">
        <v>0</v>
      </c>
      <c r="U904" s="530" t="s">
        <v>149</v>
      </c>
    </row>
    <row r="905" spans="1:21" ht="15" customHeight="1" x14ac:dyDescent="0.3">
      <c r="A905" s="530" t="str">
        <f t="shared" si="28"/>
        <v>North Wales.2022.Accommodation - Establishments.Non-Serviced Accommodation 5</v>
      </c>
      <c r="B905" s="530" t="s">
        <v>220</v>
      </c>
      <c r="C905" s="530" t="str">
        <f t="shared" si="29"/>
        <v>2022.Accommodation - Establishments.Non-Serviced Accommodation 5</v>
      </c>
      <c r="D905" s="530" t="s">
        <v>248</v>
      </c>
      <c r="E905" s="530" t="s">
        <v>150</v>
      </c>
      <c r="F905" s="530" t="s">
        <v>160</v>
      </c>
      <c r="G905" s="530" t="s">
        <v>223</v>
      </c>
      <c r="H905" s="530"/>
      <c r="I905" s="530"/>
      <c r="J905" s="530"/>
      <c r="K905" s="530"/>
      <c r="L905" s="530"/>
      <c r="M905" s="530"/>
      <c r="N905" s="530"/>
      <c r="O905" s="530"/>
      <c r="P905" s="530"/>
      <c r="Q905" s="530"/>
      <c r="R905" s="530"/>
      <c r="S905" s="530"/>
      <c r="T905" s="530" t="s">
        <v>223</v>
      </c>
      <c r="U905" s="530" t="s">
        <v>149</v>
      </c>
    </row>
    <row r="906" spans="1:21" ht="15" customHeight="1" x14ac:dyDescent="0.3">
      <c r="A906" s="530" t="str">
        <f t="shared" si="28"/>
        <v>North Wales.2022.Accommodation - Establishments.Non-Serviced Accommodation Total</v>
      </c>
      <c r="B906" s="530" t="s">
        <v>220</v>
      </c>
      <c r="C906" s="530" t="str">
        <f t="shared" si="29"/>
        <v>2022.Accommodation - Establishments.Non-Serviced Accommodation Total</v>
      </c>
      <c r="D906" s="530" t="s">
        <v>248</v>
      </c>
      <c r="E906" s="530" t="s">
        <v>150</v>
      </c>
      <c r="F906" s="530" t="s">
        <v>162</v>
      </c>
      <c r="G906" s="530" t="s">
        <v>243</v>
      </c>
      <c r="H906" s="530"/>
      <c r="I906" s="530"/>
      <c r="J906" s="530"/>
      <c r="K906" s="530"/>
      <c r="L906" s="530"/>
      <c r="M906" s="530"/>
      <c r="N906" s="530"/>
      <c r="O906" s="530"/>
      <c r="P906" s="530"/>
      <c r="Q906" s="530"/>
      <c r="R906" s="530"/>
      <c r="S906" s="530"/>
      <c r="T906" s="530">
        <v>4532</v>
      </c>
      <c r="U906" s="530" t="s">
        <v>149</v>
      </c>
    </row>
    <row r="907" spans="1:21" ht="15" customHeight="1" x14ac:dyDescent="0.3">
      <c r="A907" s="530" t="str">
        <f t="shared" si="28"/>
        <v>North Wales.2022.Accommodation - Establishments.All Accommodation Types</v>
      </c>
      <c r="B907" s="530" t="s">
        <v>220</v>
      </c>
      <c r="C907" s="530" t="str">
        <f t="shared" si="29"/>
        <v>2022.Accommodation - Establishments.All Accommodation Types</v>
      </c>
      <c r="D907" s="530" t="s">
        <v>248</v>
      </c>
      <c r="E907" s="530" t="s">
        <v>150</v>
      </c>
      <c r="F907" s="530" t="s">
        <v>163</v>
      </c>
      <c r="G907" s="530" t="s">
        <v>38</v>
      </c>
      <c r="H907" s="530"/>
      <c r="I907" s="530"/>
      <c r="J907" s="530"/>
      <c r="K907" s="530"/>
      <c r="L907" s="530"/>
      <c r="M907" s="530"/>
      <c r="N907" s="530"/>
      <c r="O907" s="530"/>
      <c r="P907" s="530"/>
      <c r="Q907" s="530"/>
      <c r="R907" s="530"/>
      <c r="S907" s="530"/>
      <c r="T907" s="530">
        <v>5538</v>
      </c>
      <c r="U907" s="530" t="s">
        <v>149</v>
      </c>
    </row>
    <row r="908" spans="1:21" ht="13.8" x14ac:dyDescent="0.3">
      <c r="A908" s="530" t="str">
        <f t="shared" si="28"/>
        <v>North Wales.2022.Accommodation - Bed Spaces.Serviced Accommodation 1</v>
      </c>
      <c r="B908" s="530" t="s">
        <v>220</v>
      </c>
      <c r="C908" s="530" t="str">
        <f t="shared" si="29"/>
        <v>2022.Accommodation - Bed Spaces.Serviced Accommodation 1</v>
      </c>
      <c r="D908" s="530" t="s">
        <v>248</v>
      </c>
      <c r="E908" s="530" t="s">
        <v>164</v>
      </c>
      <c r="F908" s="530" t="s">
        <v>151</v>
      </c>
      <c r="G908" s="530" t="s">
        <v>235</v>
      </c>
      <c r="H908" s="530"/>
      <c r="I908" s="530"/>
      <c r="J908" s="530"/>
      <c r="K908" s="530"/>
      <c r="L908" s="530"/>
      <c r="M908" s="530"/>
      <c r="N908" s="530"/>
      <c r="O908" s="530"/>
      <c r="P908" s="530"/>
      <c r="Q908" s="530"/>
      <c r="R908" s="530"/>
      <c r="S908" s="530"/>
      <c r="T908" s="530">
        <v>8620</v>
      </c>
      <c r="U908" s="530" t="s">
        <v>58</v>
      </c>
    </row>
    <row r="909" spans="1:21" ht="13.8" x14ac:dyDescent="0.3">
      <c r="A909" s="530" t="str">
        <f t="shared" si="28"/>
        <v>North Wales.2022.Accommodation - Bed Spaces.Serviced Accommodation 2</v>
      </c>
      <c r="B909" s="530" t="s">
        <v>220</v>
      </c>
      <c r="C909" s="530" t="str">
        <f t="shared" si="29"/>
        <v>2022.Accommodation - Bed Spaces.Serviced Accommodation 2</v>
      </c>
      <c r="D909" s="530" t="s">
        <v>248</v>
      </c>
      <c r="E909" s="530" t="s">
        <v>164</v>
      </c>
      <c r="F909" s="530" t="s">
        <v>152</v>
      </c>
      <c r="G909" s="530" t="s">
        <v>236</v>
      </c>
      <c r="H909" s="530"/>
      <c r="I909" s="530"/>
      <c r="J909" s="530"/>
      <c r="K909" s="530"/>
      <c r="L909" s="530"/>
      <c r="M909" s="530"/>
      <c r="N909" s="530"/>
      <c r="O909" s="530"/>
      <c r="P909" s="530"/>
      <c r="Q909" s="530"/>
      <c r="R909" s="530"/>
      <c r="S909" s="530"/>
      <c r="T909" s="530">
        <v>8319</v>
      </c>
      <c r="U909" s="530" t="s">
        <v>58</v>
      </c>
    </row>
    <row r="910" spans="1:21" ht="13.8" x14ac:dyDescent="0.3">
      <c r="A910" s="530" t="str">
        <f t="shared" si="28"/>
        <v>North Wales.2022.Accommodation - Bed Spaces.Serviced Accommodation 3</v>
      </c>
      <c r="B910" s="530" t="s">
        <v>220</v>
      </c>
      <c r="C910" s="530" t="str">
        <f t="shared" si="29"/>
        <v>2022.Accommodation - Bed Spaces.Serviced Accommodation 3</v>
      </c>
      <c r="D910" s="530" t="s">
        <v>248</v>
      </c>
      <c r="E910" s="530" t="s">
        <v>164</v>
      </c>
      <c r="F910" s="530" t="s">
        <v>153</v>
      </c>
      <c r="G910" s="530" t="s">
        <v>237</v>
      </c>
      <c r="H910" s="530"/>
      <c r="I910" s="530"/>
      <c r="J910" s="530"/>
      <c r="K910" s="530"/>
      <c r="L910" s="530"/>
      <c r="M910" s="530"/>
      <c r="N910" s="530"/>
      <c r="O910" s="530"/>
      <c r="P910" s="530"/>
      <c r="Q910" s="530"/>
      <c r="R910" s="530"/>
      <c r="S910" s="530"/>
      <c r="T910" s="530">
        <v>7867</v>
      </c>
      <c r="U910" s="530" t="s">
        <v>58</v>
      </c>
    </row>
    <row r="911" spans="1:21" ht="13.8" x14ac:dyDescent="0.3">
      <c r="A911" s="530" t="str">
        <f t="shared" si="28"/>
        <v>North Wales.2022.Accommodation - Bed Spaces.Serviced Accommodation 4</v>
      </c>
      <c r="B911" s="530" t="s">
        <v>220</v>
      </c>
      <c r="C911" s="530" t="str">
        <f t="shared" si="29"/>
        <v>2022.Accommodation - Bed Spaces.Serviced Accommodation 4</v>
      </c>
      <c r="D911" s="530" t="s">
        <v>248</v>
      </c>
      <c r="E911" s="530" t="s">
        <v>164</v>
      </c>
      <c r="F911" s="530" t="s">
        <v>154</v>
      </c>
      <c r="G911" s="530" t="s">
        <v>223</v>
      </c>
      <c r="H911" s="530"/>
      <c r="I911" s="530"/>
      <c r="J911" s="530"/>
      <c r="K911" s="530"/>
      <c r="L911" s="530"/>
      <c r="M911" s="530"/>
      <c r="N911" s="530"/>
      <c r="O911" s="530"/>
      <c r="P911" s="530"/>
      <c r="Q911" s="530"/>
      <c r="R911" s="530"/>
      <c r="S911" s="530"/>
      <c r="T911" s="530" t="s">
        <v>223</v>
      </c>
      <c r="U911" s="530" t="s">
        <v>58</v>
      </c>
    </row>
    <row r="912" spans="1:21" ht="13.8" x14ac:dyDescent="0.3">
      <c r="A912" s="530" t="str">
        <f t="shared" si="28"/>
        <v>North Wales.2022.Accommodation - Bed Spaces.Serviced Accommodation 5</v>
      </c>
      <c r="B912" s="530" t="s">
        <v>220</v>
      </c>
      <c r="C912" s="530" t="str">
        <f t="shared" si="29"/>
        <v>2022.Accommodation - Bed Spaces.Serviced Accommodation 5</v>
      </c>
      <c r="D912" s="530" t="s">
        <v>248</v>
      </c>
      <c r="E912" s="530" t="s">
        <v>164</v>
      </c>
      <c r="F912" s="530" t="s">
        <v>155</v>
      </c>
      <c r="G912" s="530" t="s">
        <v>223</v>
      </c>
      <c r="H912" s="530"/>
      <c r="I912" s="530"/>
      <c r="J912" s="530"/>
      <c r="K912" s="530"/>
      <c r="L912" s="530"/>
      <c r="M912" s="530"/>
      <c r="N912" s="530"/>
      <c r="O912" s="530"/>
      <c r="P912" s="530"/>
      <c r="Q912" s="530"/>
      <c r="R912" s="530"/>
      <c r="S912" s="530"/>
      <c r="T912" s="530" t="s">
        <v>223</v>
      </c>
      <c r="U912" s="530" t="s">
        <v>58</v>
      </c>
    </row>
    <row r="913" spans="1:21" ht="13.8" x14ac:dyDescent="0.3">
      <c r="A913" s="530" t="str">
        <f t="shared" si="28"/>
        <v>North Wales.2022.Accommodation - Bed Spaces.Serviced Accommodation Total</v>
      </c>
      <c r="B913" s="530" t="s">
        <v>220</v>
      </c>
      <c r="C913" s="530" t="str">
        <f t="shared" si="29"/>
        <v>2022.Accommodation - Bed Spaces.Serviced Accommodation Total</v>
      </c>
      <c r="D913" s="530" t="s">
        <v>248</v>
      </c>
      <c r="E913" s="530" t="s">
        <v>164</v>
      </c>
      <c r="F913" s="530" t="s">
        <v>161</v>
      </c>
      <c r="G913" s="530" t="s">
        <v>238</v>
      </c>
      <c r="H913" s="530"/>
      <c r="I913" s="530"/>
      <c r="J913" s="530"/>
      <c r="K913" s="530"/>
      <c r="L913" s="530"/>
      <c r="M913" s="530"/>
      <c r="N913" s="530"/>
      <c r="O913" s="530"/>
      <c r="P913" s="530"/>
      <c r="Q913" s="530"/>
      <c r="R913" s="530"/>
      <c r="S913" s="530"/>
      <c r="T913" s="530">
        <v>24806</v>
      </c>
      <c r="U913" s="530" t="s">
        <v>58</v>
      </c>
    </row>
    <row r="914" spans="1:21" ht="13.8" x14ac:dyDescent="0.3">
      <c r="A914" s="530" t="str">
        <f t="shared" ref="A914:A926" si="30">B914&amp;"."&amp;D914&amp;"."&amp;E914&amp;"."&amp;F914</f>
        <v>North Wales.2022.Accommodation - Bed Spaces.Non-Serviced Accommodation 1</v>
      </c>
      <c r="B914" s="530" t="s">
        <v>220</v>
      </c>
      <c r="C914" s="530" t="str">
        <f t="shared" ref="C914:C926" si="31">D914&amp;"."&amp;E914&amp;"."&amp;F914</f>
        <v>2022.Accommodation - Bed Spaces.Non-Serviced Accommodation 1</v>
      </c>
      <c r="D914" s="530" t="s">
        <v>248</v>
      </c>
      <c r="E914" s="530" t="s">
        <v>164</v>
      </c>
      <c r="F914" s="530" t="s">
        <v>156</v>
      </c>
      <c r="G914" s="530" t="s">
        <v>239</v>
      </c>
      <c r="H914" s="530"/>
      <c r="I914" s="530"/>
      <c r="J914" s="530"/>
      <c r="K914" s="530"/>
      <c r="L914" s="530"/>
      <c r="M914" s="530"/>
      <c r="N914" s="530"/>
      <c r="O914" s="530"/>
      <c r="P914" s="530"/>
      <c r="Q914" s="530"/>
      <c r="R914" s="530"/>
      <c r="S914" s="530"/>
      <c r="T914" s="530">
        <v>35744</v>
      </c>
      <c r="U914" s="530" t="s">
        <v>58</v>
      </c>
    </row>
    <row r="915" spans="1:21" ht="13.8" x14ac:dyDescent="0.3">
      <c r="A915" s="530" t="str">
        <f t="shared" si="30"/>
        <v>North Wales.2022.Accommodation - Bed Spaces.Non-Serviced Accommodation 2</v>
      </c>
      <c r="B915" s="530" t="s">
        <v>220</v>
      </c>
      <c r="C915" s="530" t="str">
        <f t="shared" si="31"/>
        <v>2022.Accommodation - Bed Spaces.Non-Serviced Accommodation 2</v>
      </c>
      <c r="D915" s="530" t="s">
        <v>248</v>
      </c>
      <c r="E915" s="530" t="s">
        <v>164</v>
      </c>
      <c r="F915" s="530" t="s">
        <v>157</v>
      </c>
      <c r="G915" s="530" t="s">
        <v>240</v>
      </c>
      <c r="H915" s="530"/>
      <c r="I915" s="530"/>
      <c r="J915" s="530"/>
      <c r="K915" s="530"/>
      <c r="L915" s="530"/>
      <c r="M915" s="530"/>
      <c r="N915" s="530"/>
      <c r="O915" s="530"/>
      <c r="P915" s="530"/>
      <c r="Q915" s="530"/>
      <c r="R915" s="530"/>
      <c r="S915" s="530"/>
      <c r="T915" s="530">
        <v>24445.021574751299</v>
      </c>
      <c r="U915" s="530" t="s">
        <v>58</v>
      </c>
    </row>
    <row r="916" spans="1:21" ht="13.8" x14ac:dyDescent="0.3">
      <c r="A916" s="530" t="str">
        <f t="shared" si="30"/>
        <v>North Wales.2022.Accommodation - Bed Spaces.Non-Serviced Accommodation 3</v>
      </c>
      <c r="B916" s="530" t="s">
        <v>220</v>
      </c>
      <c r="C916" s="530" t="str">
        <f t="shared" si="31"/>
        <v>2022.Accommodation - Bed Spaces.Non-Serviced Accommodation 3</v>
      </c>
      <c r="D916" s="530" t="s">
        <v>248</v>
      </c>
      <c r="E916" s="530" t="s">
        <v>164</v>
      </c>
      <c r="F916" s="530" t="s">
        <v>158</v>
      </c>
      <c r="G916" s="530" t="s">
        <v>241</v>
      </c>
      <c r="H916" s="530"/>
      <c r="I916" s="530"/>
      <c r="J916" s="530"/>
      <c r="K916" s="530"/>
      <c r="L916" s="530"/>
      <c r="M916" s="530"/>
      <c r="N916" s="530"/>
      <c r="O916" s="530"/>
      <c r="P916" s="530"/>
      <c r="Q916" s="530"/>
      <c r="R916" s="530"/>
      <c r="S916" s="530"/>
      <c r="T916" s="530">
        <v>50532</v>
      </c>
      <c r="U916" s="530" t="s">
        <v>58</v>
      </c>
    </row>
    <row r="917" spans="1:21" ht="13.8" x14ac:dyDescent="0.3">
      <c r="A917" s="530" t="str">
        <f t="shared" si="30"/>
        <v>North Wales.2022.Accommodation - Bed Spaces.Non-Serviced Accommodation 4</v>
      </c>
      <c r="B917" s="530" t="s">
        <v>220</v>
      </c>
      <c r="C917" s="530" t="str">
        <f t="shared" si="31"/>
        <v>2022.Accommodation - Bed Spaces.Non-Serviced Accommodation 4</v>
      </c>
      <c r="D917" s="530" t="s">
        <v>248</v>
      </c>
      <c r="E917" s="530" t="s">
        <v>164</v>
      </c>
      <c r="F917" s="530" t="s">
        <v>159</v>
      </c>
      <c r="G917" s="530" t="s">
        <v>242</v>
      </c>
      <c r="H917" s="530"/>
      <c r="I917" s="530"/>
      <c r="J917" s="530"/>
      <c r="K917" s="530"/>
      <c r="L917" s="530"/>
      <c r="M917" s="530"/>
      <c r="N917" s="530"/>
      <c r="O917" s="530"/>
      <c r="P917" s="530"/>
      <c r="Q917" s="530"/>
      <c r="R917" s="530"/>
      <c r="S917" s="530"/>
      <c r="T917" s="530">
        <v>112585.66567658223</v>
      </c>
      <c r="U917" s="530" t="s">
        <v>58</v>
      </c>
    </row>
    <row r="918" spans="1:21" ht="13.8" x14ac:dyDescent="0.3">
      <c r="A918" s="530" t="str">
        <f t="shared" si="30"/>
        <v>North Wales.2022.Accommodation - Bed Spaces.Non-Serviced Accommodation 5</v>
      </c>
      <c r="B918" s="530" t="s">
        <v>220</v>
      </c>
      <c r="C918" s="530" t="str">
        <f t="shared" si="31"/>
        <v>2022.Accommodation - Bed Spaces.Non-Serviced Accommodation 5</v>
      </c>
      <c r="D918" s="530" t="s">
        <v>248</v>
      </c>
      <c r="E918" s="530" t="s">
        <v>164</v>
      </c>
      <c r="F918" s="530" t="s">
        <v>160</v>
      </c>
      <c r="G918" s="530" t="s">
        <v>223</v>
      </c>
      <c r="H918" s="530"/>
      <c r="I918" s="530"/>
      <c r="J918" s="530"/>
      <c r="K918" s="530"/>
      <c r="L918" s="530"/>
      <c r="M918" s="530"/>
      <c r="N918" s="530"/>
      <c r="O918" s="530"/>
      <c r="P918" s="530"/>
      <c r="Q918" s="530"/>
      <c r="R918" s="530"/>
      <c r="S918" s="530"/>
      <c r="T918" s="530" t="s">
        <v>223</v>
      </c>
      <c r="U918" s="530" t="s">
        <v>58</v>
      </c>
    </row>
    <row r="919" spans="1:21" ht="13.8" x14ac:dyDescent="0.3">
      <c r="A919" s="530" t="str">
        <f t="shared" si="30"/>
        <v>North Wales.2022.Accommodation - Bed Spaces.Non-Serviced Accommodation Total</v>
      </c>
      <c r="B919" s="530" t="s">
        <v>220</v>
      </c>
      <c r="C919" s="530" t="str">
        <f t="shared" si="31"/>
        <v>2022.Accommodation - Bed Spaces.Non-Serviced Accommodation Total</v>
      </c>
      <c r="D919" s="530" t="s">
        <v>248</v>
      </c>
      <c r="E919" s="530" t="s">
        <v>164</v>
      </c>
      <c r="F919" s="530" t="s">
        <v>162</v>
      </c>
      <c r="G919" s="530" t="s">
        <v>243</v>
      </c>
      <c r="H919" s="530"/>
      <c r="I919" s="530"/>
      <c r="J919" s="530"/>
      <c r="K919" s="530"/>
      <c r="L919" s="530"/>
      <c r="M919" s="530"/>
      <c r="N919" s="530"/>
      <c r="O919" s="530"/>
      <c r="P919" s="530"/>
      <c r="Q919" s="530"/>
      <c r="R919" s="530"/>
      <c r="S919" s="530"/>
      <c r="T919" s="530">
        <v>223306.68725133353</v>
      </c>
      <c r="U919" s="530" t="s">
        <v>58</v>
      </c>
    </row>
    <row r="920" spans="1:21" ht="13.8" x14ac:dyDescent="0.3">
      <c r="A920" s="530" t="str">
        <f t="shared" si="30"/>
        <v>North Wales.2022.Accommodation - Bed Spaces.All Accommodation Types</v>
      </c>
      <c r="B920" s="530" t="s">
        <v>220</v>
      </c>
      <c r="C920" s="530" t="str">
        <f t="shared" si="31"/>
        <v>2022.Accommodation - Bed Spaces.All Accommodation Types</v>
      </c>
      <c r="D920" s="530" t="s">
        <v>248</v>
      </c>
      <c r="E920" s="530" t="s">
        <v>164</v>
      </c>
      <c r="F920" s="530" t="s">
        <v>163</v>
      </c>
      <c r="G920" s="530" t="s">
        <v>38</v>
      </c>
      <c r="H920" s="530"/>
      <c r="I920" s="530"/>
      <c r="J920" s="530"/>
      <c r="K920" s="530"/>
      <c r="L920" s="530"/>
      <c r="M920" s="530"/>
      <c r="N920" s="530"/>
      <c r="O920" s="530"/>
      <c r="P920" s="530"/>
      <c r="Q920" s="530"/>
      <c r="R920" s="530"/>
      <c r="S920" s="530"/>
      <c r="T920" s="530">
        <v>248112.68725133353</v>
      </c>
      <c r="U920" s="530" t="s">
        <v>58</v>
      </c>
    </row>
    <row r="921" spans="1:21" ht="12.75" customHeight="1" x14ac:dyDescent="0.3">
      <c r="A921" s="530" t="str">
        <f t="shared" si="30"/>
        <v>North Wales.2011.Economic Impact.Staying Visitor</v>
      </c>
      <c r="B921" s="530" t="s">
        <v>220</v>
      </c>
      <c r="C921" s="530" t="str">
        <f t="shared" si="31"/>
        <v>2011.Economic Impact.Staying Visitor</v>
      </c>
      <c r="D921" s="530" t="s">
        <v>219</v>
      </c>
      <c r="E921" s="530" t="s">
        <v>17</v>
      </c>
      <c r="F921" s="530" t="s">
        <v>140</v>
      </c>
      <c r="G921" s="530" t="s">
        <v>140</v>
      </c>
      <c r="H921" s="530">
        <f>SUM(SUMIFS(H:H,$D:$D,$D921,$E:$E,$E921,$F:$F,{"Serviced Accommodation","Non-Serviced Accommodation","SFR"}))</f>
        <v>42483.259925996324</v>
      </c>
      <c r="I921" s="530">
        <f>SUM(SUMIFS(I:I,$D:$D,$D921,$E:$E,$E921,$F:$F,{"Serviced Accommodation","Non-Serviced Accommodation","SFR"}))</f>
        <v>45447.182721550664</v>
      </c>
      <c r="J921" s="530">
        <f>SUM(SUMIFS(J:J,$D:$D,$D921,$E:$E,$E921,$F:$F,{"Serviced Accommodation","Non-Serviced Accommodation","SFR"}))</f>
        <v>75918.727769402336</v>
      </c>
      <c r="K921" s="530">
        <f>SUM(SUMIFS(K:K,$D:$D,$D921,$E:$E,$E921,$F:$F,{"Serviced Accommodation","Non-Serviced Accommodation","SFR"}))</f>
        <v>187223.20605240998</v>
      </c>
      <c r="L921" s="530">
        <f>SUM(SUMIFS(L:L,$D:$D,$D921,$E:$E,$E921,$F:$F,{"Serviced Accommodation","Non-Serviced Accommodation","SFR"}))</f>
        <v>197284.2469444962</v>
      </c>
      <c r="M921" s="530">
        <f>SUM(SUMIFS(M:M,$D:$D,$D921,$E:$E,$E921,$F:$F,{"Serviced Accommodation","Non-Serviced Accommodation","SFR"}))</f>
        <v>207215.62680689749</v>
      </c>
      <c r="N921" s="530">
        <f>SUM(SUMIFS(N:N,$D:$D,$D921,$E:$E,$E921,$F:$F,{"Serviced Accommodation","Non-Serviced Accommodation","SFR"}))</f>
        <v>280857.17934935482</v>
      </c>
      <c r="O921" s="530">
        <f>SUM(SUMIFS(O:O,$D:$D,$D921,$E:$E,$E921,$F:$F,{"Serviced Accommodation","Non-Serviced Accommodation","SFR"}))</f>
        <v>299124.75077508035</v>
      </c>
      <c r="P921" s="530">
        <f>SUM(SUMIFS(P:P,$D:$D,$D921,$E:$E,$E921,$F:$F,{"Serviced Accommodation","Non-Serviced Accommodation","SFR"}))</f>
        <v>219464.2868442054</v>
      </c>
      <c r="Q921" s="530">
        <f>SUM(SUMIFS(Q:Q,$D:$D,$D921,$E:$E,$E921,$F:$F,{"Serviced Accommodation","Non-Serviced Accommodation","SFR"}))</f>
        <v>140027.20502660848</v>
      </c>
      <c r="R921" s="530">
        <f>SUM(SUMIFS(R:R,$D:$D,$D921,$E:$E,$E921,$F:$F,{"Serviced Accommodation","Non-Serviced Accommodation","SFR"}))</f>
        <v>61181.492173093509</v>
      </c>
      <c r="S921" s="530">
        <f>SUM(SUMIFS(S:S,$D:$D,$D921,$E:$E,$E921,$F:$F,{"Serviced Accommodation","Non-Serviced Accommodation","SFR"}))</f>
        <v>50307.087639875033</v>
      </c>
      <c r="T921" s="530">
        <f>SUM(SUMIFS(T:T,$D:$D,$D921,$E:$E,$E921,$F:$F,{"Serviced Accommodation","Non-Serviced Accommodation","SFR"}))</f>
        <v>1806534.2520289707</v>
      </c>
      <c r="U921" s="530" t="s">
        <v>57</v>
      </c>
    </row>
    <row r="922" spans="1:21" ht="12.75" customHeight="1" x14ac:dyDescent="0.3">
      <c r="A922" s="530" t="str">
        <f t="shared" si="30"/>
        <v>North Wales.2011.Employment.Staying Visitor</v>
      </c>
      <c r="B922" s="530" t="s">
        <v>220</v>
      </c>
      <c r="C922" s="530" t="str">
        <f t="shared" si="31"/>
        <v>2011.Employment.Staying Visitor</v>
      </c>
      <c r="D922" s="530" t="s">
        <v>219</v>
      </c>
      <c r="E922" s="530" t="s">
        <v>20</v>
      </c>
      <c r="F922" s="530" t="s">
        <v>140</v>
      </c>
      <c r="G922" s="530" t="s">
        <v>140</v>
      </c>
      <c r="H922" s="530">
        <f>SUM(SUMIFS(H:H,$D:$D,$D922,$E:$E,$E922,$F:$F,{"Serviced Accommodation","Non-Serviced Accommodation","SFR"}))</f>
        <v>11934.950737540925</v>
      </c>
      <c r="I922" s="530">
        <f>SUM(SUMIFS(I:I,$D:$D,$D922,$E:$E,$E922,$F:$F,{"Serviced Accommodation","Non-Serviced Accommodation","SFR"}))</f>
        <v>12018.052663482169</v>
      </c>
      <c r="J922" s="530">
        <f>SUM(SUMIFS(J:J,$D:$D,$D922,$E:$E,$E922,$F:$F,{"Serviced Accommodation","Non-Serviced Accommodation","SFR"}))</f>
        <v>16371.249172956735</v>
      </c>
      <c r="K922" s="530">
        <f>SUM(SUMIFS(K:K,$D:$D,$D922,$E:$E,$E922,$F:$F,{"Serviced Accommodation","Non-Serviced Accommodation","SFR"}))</f>
        <v>32654.553119742239</v>
      </c>
      <c r="L922" s="530">
        <f>SUM(SUMIFS(L:L,$D:$D,$D922,$E:$E,$E922,$F:$F,{"Serviced Accommodation","Non-Serviced Accommodation","SFR"}))</f>
        <v>33746.695702901168</v>
      </c>
      <c r="M922" s="530">
        <f>SUM(SUMIFS(M:M,$D:$D,$D922,$E:$E,$E922,$F:$F,{"Serviced Accommodation","Non-Serviced Accommodation","SFR"}))</f>
        <v>34982.678055775388</v>
      </c>
      <c r="N922" s="530">
        <f>SUM(SUMIFS(N:N,$D:$D,$D922,$E:$E,$E922,$F:$F,{"Serviced Accommodation","Non-Serviced Accommodation","SFR"}))</f>
        <v>40217.656551757638</v>
      </c>
      <c r="O922" s="530">
        <f>SUM(SUMIFS(O:O,$D:$D,$D922,$E:$E,$E922,$F:$F,{"Serviced Accommodation","Non-Serviced Accommodation","SFR"}))</f>
        <v>41977.859315194917</v>
      </c>
      <c r="P922" s="530">
        <f>SUM(SUMIFS(P:P,$D:$D,$D922,$E:$E,$E922,$F:$F,{"Serviced Accommodation","Non-Serviced Accommodation","SFR"}))</f>
        <v>33112.479397136631</v>
      </c>
      <c r="Q922" s="530">
        <f>SUM(SUMIFS(Q:Q,$D:$D,$D922,$E:$E,$E922,$F:$F,{"Serviced Accommodation","Non-Serviced Accommodation","SFR"}))</f>
        <v>26242.974338473403</v>
      </c>
      <c r="R922" s="530">
        <f>SUM(SUMIFS(R:R,$D:$D,$D922,$E:$E,$E922,$F:$F,{"Serviced Accommodation","Non-Serviced Accommodation","SFR"}))</f>
        <v>14069.32261271222</v>
      </c>
      <c r="S922" s="530">
        <f>SUM(SUMIFS(S:S,$D:$D,$D922,$E:$E,$E922,$F:$F,{"Serviced Accommodation","Non-Serviced Accommodation","SFR"}))</f>
        <v>12823.895149302278</v>
      </c>
      <c r="T922" s="530">
        <f>SUM(SUMIFS(T:T,$D:$D,$D922,$E:$E,$E922,$F:$F,{"Serviced Accommodation","Non-Serviced Accommodation","SFR"}))</f>
        <v>25846.030568081311</v>
      </c>
      <c r="U922" s="530" t="s">
        <v>59</v>
      </c>
    </row>
    <row r="923" spans="1:21" ht="12.75" customHeight="1" x14ac:dyDescent="0.3">
      <c r="A923" s="530" t="str">
        <f t="shared" si="30"/>
        <v>North Wales.2011.Visitor Days.Staying Visitor</v>
      </c>
      <c r="B923" s="530" t="s">
        <v>220</v>
      </c>
      <c r="C923" s="530" t="str">
        <f t="shared" si="31"/>
        <v>2011.Visitor Days.Staying Visitor</v>
      </c>
      <c r="D923" s="530" t="s">
        <v>219</v>
      </c>
      <c r="E923" s="530" t="s">
        <v>171</v>
      </c>
      <c r="F923" s="530" t="s">
        <v>140</v>
      </c>
      <c r="G923" s="530" t="s">
        <v>140</v>
      </c>
      <c r="H923" s="530">
        <f>SUM(SUMIFS(H:H,$D:$D,$D923,$E:$E,$E923,$F:$F,{"Serviced Accommodation","Non-Serviced Accommodation","SFR"}))</f>
        <v>1010.8130608694375</v>
      </c>
      <c r="I923" s="530">
        <f>SUM(SUMIFS(I:I,$D:$D,$D923,$E:$E,$E923,$F:$F,{"Serviced Accommodation","Non-Serviced Accommodation","SFR"}))</f>
        <v>955.64311469200231</v>
      </c>
      <c r="J923" s="530">
        <f>SUM(SUMIFS(J:J,$D:$D,$D923,$E:$E,$E923,$F:$F,{"Serviced Accommodation","Non-Serviced Accommodation","SFR"}))</f>
        <v>1875.426928281742</v>
      </c>
      <c r="K923" s="530">
        <f>SUM(SUMIFS(K:K,$D:$D,$D923,$E:$E,$E923,$F:$F,{"Serviced Accommodation","Non-Serviced Accommodation","SFR"}))</f>
        <v>4650.1200292002814</v>
      </c>
      <c r="L923" s="530">
        <f>SUM(SUMIFS(L:L,$D:$D,$D923,$E:$E,$E923,$F:$F,{"Serviced Accommodation","Non-Serviced Accommodation","SFR"}))</f>
        <v>4971.8289527353654</v>
      </c>
      <c r="M923" s="530">
        <f>SUM(SUMIFS(M:M,$D:$D,$D923,$E:$E,$E923,$F:$F,{"Serviced Accommodation","Non-Serviced Accommodation","SFR"}))</f>
        <v>5149.1048228509453</v>
      </c>
      <c r="N923" s="530">
        <f>SUM(SUMIFS(N:N,$D:$D,$D923,$E:$E,$E923,$F:$F,{"Serviced Accommodation","Non-Serviced Accommodation","SFR"}))</f>
        <v>6403.6900937657028</v>
      </c>
      <c r="O923" s="530">
        <f>SUM(SUMIFS(O:O,$D:$D,$D923,$E:$E,$E923,$F:$F,{"Serviced Accommodation","Non-Serviced Accommodation","SFR"}))</f>
        <v>6772.6046263891385</v>
      </c>
      <c r="P923" s="530">
        <f>SUM(SUMIFS(P:P,$D:$D,$D923,$E:$E,$E923,$F:$F,{"Serviced Accommodation","Non-Serviced Accommodation","SFR"}))</f>
        <v>4777.3106052833</v>
      </c>
      <c r="Q923" s="530">
        <f>SUM(SUMIFS(Q:Q,$D:$D,$D923,$E:$E,$E923,$F:$F,{"Serviced Accommodation","Non-Serviced Accommodation","SFR"}))</f>
        <v>3482.3391642167931</v>
      </c>
      <c r="R923" s="530">
        <f>SUM(SUMIFS(R:R,$D:$D,$D923,$E:$E,$E923,$F:$F,{"Serviced Accommodation","Non-Serviced Accommodation","SFR"}))</f>
        <v>1374.8642741515298</v>
      </c>
      <c r="S923" s="530">
        <f>SUM(SUMIFS(S:S,$D:$D,$D923,$E:$E,$E923,$F:$F,{"Serviced Accommodation","Non-Serviced Accommodation","SFR"}))</f>
        <v>1138.3598383960139</v>
      </c>
      <c r="T923" s="530">
        <f>SUM(SUMIFS(T:T,$D:$D,$D923,$E:$E,$E923,$F:$F,{"Serviced Accommodation","Non-Serviced Accommodation","SFR"}))</f>
        <v>42562.105510832254</v>
      </c>
      <c r="U923" s="530" t="s">
        <v>61</v>
      </c>
    </row>
    <row r="924" spans="1:21" ht="12.75" customHeight="1" x14ac:dyDescent="0.3">
      <c r="A924" s="530" t="str">
        <f t="shared" si="30"/>
        <v>North Wales.2011.Visitor Numbers.Staying Visitor</v>
      </c>
      <c r="B924" s="530" t="s">
        <v>220</v>
      </c>
      <c r="C924" s="530" t="str">
        <f t="shared" si="31"/>
        <v>2011.Visitor Numbers.Staying Visitor</v>
      </c>
      <c r="D924" s="530" t="s">
        <v>219</v>
      </c>
      <c r="E924" s="530" t="s">
        <v>172</v>
      </c>
      <c r="F924" s="530" t="s">
        <v>140</v>
      </c>
      <c r="G924" s="530" t="s">
        <v>140</v>
      </c>
      <c r="H924" s="530">
        <f>SUM(SUMIFS(H:H,$D:$D,$D924,$E:$E,$E924,$F:$F,{"Serviced Accommodation","Non-Serviced Accommodation","SFR"}))</f>
        <v>390.09939360772267</v>
      </c>
      <c r="I924" s="530">
        <f>SUM(SUMIFS(I:I,$D:$D,$D924,$E:$E,$E924,$F:$F,{"Serviced Accommodation","Non-Serviced Accommodation","SFR"}))</f>
        <v>357.07846018051043</v>
      </c>
      <c r="J924" s="530">
        <f>SUM(SUMIFS(J:J,$D:$D,$D924,$E:$E,$E924,$F:$F,{"Serviced Accommodation","Non-Serviced Accommodation","SFR"}))</f>
        <v>501.12852584585954</v>
      </c>
      <c r="K924" s="530">
        <f>SUM(SUMIFS(K:K,$D:$D,$D924,$E:$E,$E924,$F:$F,{"Serviced Accommodation","Non-Serviced Accommodation","SFR"}))</f>
        <v>957.72033504205365</v>
      </c>
      <c r="L924" s="530">
        <f>SUM(SUMIFS(L:L,$D:$D,$D924,$E:$E,$E924,$F:$F,{"Serviced Accommodation","Non-Serviced Accommodation","SFR"}))</f>
        <v>954.27796981843039</v>
      </c>
      <c r="M924" s="530">
        <f>SUM(SUMIFS(M:M,$D:$D,$D924,$E:$E,$E924,$F:$F,{"Serviced Accommodation","Non-Serviced Accommodation","SFR"}))</f>
        <v>983.27756702733109</v>
      </c>
      <c r="N924" s="530">
        <f>SUM(SUMIFS(N:N,$D:$D,$D924,$E:$E,$E924,$F:$F,{"Serviced Accommodation","Non-Serviced Accommodation","SFR"}))</f>
        <v>1204.0478609126399</v>
      </c>
      <c r="O924" s="530">
        <f>SUM(SUMIFS(O:O,$D:$D,$D924,$E:$E,$E924,$F:$F,{"Serviced Accommodation","Non-Serviced Accommodation","SFR"}))</f>
        <v>1232.1313592108656</v>
      </c>
      <c r="P924" s="530">
        <f>SUM(SUMIFS(P:P,$D:$D,$D924,$E:$E,$E924,$F:$F,{"Serviced Accommodation","Non-Serviced Accommodation","SFR"}))</f>
        <v>909.87957645666347</v>
      </c>
      <c r="Q924" s="530">
        <f>SUM(SUMIFS(Q:Q,$D:$D,$D924,$E:$E,$E924,$F:$F,{"Serviced Accommodation","Non-Serviced Accommodation","SFR"}))</f>
        <v>738.82554398220225</v>
      </c>
      <c r="R924" s="530">
        <f>SUM(SUMIFS(R:R,$D:$D,$D924,$E:$E,$E924,$F:$F,{"Serviced Accommodation","Non-Serviced Accommodation","SFR"}))</f>
        <v>435.50618124011828</v>
      </c>
      <c r="S924" s="530">
        <f>SUM(SUMIFS(S:S,$D:$D,$D924,$E:$E,$E924,$F:$F,{"Serviced Accommodation","Non-Serviced Accommodation","SFR"}))</f>
        <v>359.49682280293996</v>
      </c>
      <c r="T924" s="530">
        <f>SUM(SUMIFS(T:T,$D:$D,$D924,$E:$E,$E924,$F:$F,{"Serviced Accommodation","Non-Serviced Accommodation","SFR"}))</f>
        <v>9023.4695961273392</v>
      </c>
      <c r="U924" s="530" t="s">
        <v>61</v>
      </c>
    </row>
    <row r="925" spans="1:21" ht="12.75" customHeight="1" x14ac:dyDescent="0.3">
      <c r="A925" s="530" t="str">
        <f t="shared" si="30"/>
        <v>North Wales.2011.Vehicle Days.Staying Visitor</v>
      </c>
      <c r="B925" s="530" t="s">
        <v>220</v>
      </c>
      <c r="C925" s="530" t="str">
        <f t="shared" si="31"/>
        <v>2011.Vehicle Days.Staying Visitor</v>
      </c>
      <c r="D925" s="530" t="s">
        <v>219</v>
      </c>
      <c r="E925" s="530" t="s">
        <v>21</v>
      </c>
      <c r="F925" s="530" t="s">
        <v>140</v>
      </c>
      <c r="G925" s="530" t="s">
        <v>140</v>
      </c>
      <c r="H925" s="530">
        <f>SUM(SUMIFS(H:H,$D:$D,$D925,$E:$E,$E925,$F:$F,{"Serviced Accommodation","Non-Serviced Accommodation","SFR"}))</f>
        <v>276.45676829764943</v>
      </c>
      <c r="I925" s="530">
        <f>SUM(SUMIFS(I:I,$D:$D,$D925,$E:$E,$E925,$F:$F,{"Serviced Accommodation","Non-Serviced Accommodation","SFR"}))</f>
        <v>292.82932546110044</v>
      </c>
      <c r="J925" s="530">
        <f>SUM(SUMIFS(J:J,$D:$D,$D925,$E:$E,$E925,$F:$F,{"Serviced Accommodation","Non-Serviced Accommodation","SFR"}))</f>
        <v>512.72526594008025</v>
      </c>
      <c r="K925" s="530">
        <f>SUM(SUMIFS(K:K,$D:$D,$D925,$E:$E,$E925,$F:$F,{"Serviced Accommodation","Non-Serviced Accommodation","SFR"}))</f>
        <v>1267.8655651154493</v>
      </c>
      <c r="L925" s="530">
        <f>SUM(SUMIFS(L:L,$D:$D,$D925,$E:$E,$E925,$F:$F,{"Serviced Accommodation","Non-Serviced Accommodation","SFR"}))</f>
        <v>1362.9462254497894</v>
      </c>
      <c r="M925" s="530">
        <f>SUM(SUMIFS(M:M,$D:$D,$D925,$E:$E,$E925,$F:$F,{"Serviced Accommodation","Non-Serviced Accommodation","SFR"}))</f>
        <v>1424.9161604614487</v>
      </c>
      <c r="N925" s="530">
        <f>SUM(SUMIFS(N:N,$D:$D,$D925,$E:$E,$E925,$F:$F,{"Serviced Accommodation","Non-Serviced Accommodation","SFR"}))</f>
        <v>1702.5986405031922</v>
      </c>
      <c r="O925" s="530">
        <f>SUM(SUMIFS(O:O,$D:$D,$D925,$E:$E,$E925,$F:$F,{"Serviced Accommodation","Non-Serviced Accommodation","SFR"}))</f>
        <v>1780.9050102111216</v>
      </c>
      <c r="P925" s="530">
        <f>SUM(SUMIFS(P:P,$D:$D,$D925,$E:$E,$E925,$F:$F,{"Serviced Accommodation","Non-Serviced Accommodation","SFR"}))</f>
        <v>1304.5706220482475</v>
      </c>
      <c r="Q925" s="530">
        <f>SUM(SUMIFS(Q:Q,$D:$D,$D925,$E:$E,$E925,$F:$F,{"Serviced Accommodation","Non-Serviced Accommodation","SFR"}))</f>
        <v>935.83329081185946</v>
      </c>
      <c r="R925" s="530">
        <f>SUM(SUMIFS(R:R,$D:$D,$D925,$E:$E,$E925,$F:$F,{"Serviced Accommodation","Non-Serviced Accommodation","SFR"}))</f>
        <v>374.93264533118128</v>
      </c>
      <c r="S925" s="530">
        <f>SUM(SUMIFS(S:S,$D:$D,$D925,$E:$E,$E925,$F:$F,{"Serviced Accommodation","Non-Serviced Accommodation","SFR"}))</f>
        <v>300.65480718872277</v>
      </c>
      <c r="T925" s="530">
        <f>SUM(SUMIFS(T:T,$D:$D,$D925,$E:$E,$E925,$F:$F,{"Serviced Accommodation","Non-Serviced Accommodation","SFR"}))</f>
        <v>11537.234326819846</v>
      </c>
      <c r="U925" s="530" t="s">
        <v>61</v>
      </c>
    </row>
    <row r="926" spans="1:21" ht="12.75" customHeight="1" x14ac:dyDescent="0.3">
      <c r="A926" s="530" t="str">
        <f t="shared" si="30"/>
        <v>North Wales.2011.Vehicle Numbers.Staying Visitor</v>
      </c>
      <c r="B926" s="530" t="s">
        <v>220</v>
      </c>
      <c r="C926" s="530" t="str">
        <f t="shared" si="31"/>
        <v>2011.Vehicle Numbers.Staying Visitor</v>
      </c>
      <c r="D926" s="530" t="s">
        <v>219</v>
      </c>
      <c r="E926" s="530" t="s">
        <v>22</v>
      </c>
      <c r="F926" s="530" t="s">
        <v>140</v>
      </c>
      <c r="G926" s="530" t="s">
        <v>140</v>
      </c>
      <c r="H926" s="530">
        <f>SUM(SUMIFS(H:H,$D:$D,$D926,$E:$E,$E926,$F:$F,{"Serviced Accommodation","Non-Serviced Accommodation","SFR"}))</f>
        <v>107.19083053025037</v>
      </c>
      <c r="I926" s="530">
        <f>SUM(SUMIFS(I:I,$D:$D,$D926,$E:$E,$E926,$F:$F,{"Serviced Accommodation","Non-Serviced Accommodation","SFR"}))</f>
        <v>113.0167794997945</v>
      </c>
      <c r="J926" s="530">
        <f>SUM(SUMIFS(J:J,$D:$D,$D926,$E:$E,$E926,$F:$F,{"Serviced Accommodation","Non-Serviced Accommodation","SFR"}))</f>
        <v>144.7339533969029</v>
      </c>
      <c r="K926" s="530">
        <f>SUM(SUMIFS(K:K,$D:$D,$D926,$E:$E,$E926,$F:$F,{"Serviced Accommodation","Non-Serviced Accommodation","SFR"}))</f>
        <v>261.61583703252109</v>
      </c>
      <c r="L926" s="530">
        <f>SUM(SUMIFS(L:L,$D:$D,$D926,$E:$E,$E926,$F:$F,{"Serviced Accommodation","Non-Serviced Accommodation","SFR"}))</f>
        <v>264.64631744349629</v>
      </c>
      <c r="M926" s="530">
        <f>SUM(SUMIFS(M:M,$D:$D,$D926,$E:$E,$E926,$F:$F,{"Serviced Accommodation","Non-Serviced Accommodation","SFR"}))</f>
        <v>274.09361194019141</v>
      </c>
      <c r="N926" s="530">
        <f>SUM(SUMIFS(N:N,$D:$D,$D926,$E:$E,$E926,$F:$F,{"Serviced Accommodation","Non-Serviced Accommodation","SFR"}))</f>
        <v>321.85967342888347</v>
      </c>
      <c r="O926" s="530">
        <f>SUM(SUMIFS(O:O,$D:$D,$D926,$E:$E,$E926,$F:$F,{"Serviced Accommodation","Non-Serviced Accommodation","SFR"}))</f>
        <v>326.53793727457605</v>
      </c>
      <c r="P926" s="530">
        <f>SUM(SUMIFS(P:P,$D:$D,$D926,$E:$E,$E926,$F:$F,{"Serviced Accommodation","Non-Serviced Accommodation","SFR"}))</f>
        <v>248.04033094948775</v>
      </c>
      <c r="Q926" s="530">
        <f>SUM(SUMIFS(Q:Q,$D:$D,$D926,$E:$E,$E926,$F:$F,{"Serviced Accommodation","Non-Serviced Accommodation","SFR"}))</f>
        <v>208.014651976686</v>
      </c>
      <c r="R926" s="530">
        <f>SUM(SUMIFS(R:R,$D:$D,$D926,$E:$E,$E926,$F:$F,{"Serviced Accommodation","Non-Serviced Accommodation","SFR"}))</f>
        <v>123.0228012266641</v>
      </c>
      <c r="S926" s="530">
        <f>SUM(SUMIFS(S:S,$D:$D,$D926,$E:$E,$E926,$F:$F,{"Serviced Accommodation","Non-Serviced Accommodation","SFR"}))</f>
        <v>97.711962994863114</v>
      </c>
      <c r="T926" s="530">
        <f>SUM(SUMIFS(T:T,$D:$D,$D926,$E:$E,$E926,$F:$F,{"Serviced Accommodation","Non-Serviced Accommodation","SFR"}))</f>
        <v>2490.484687694317</v>
      </c>
      <c r="U926" s="530" t="s">
        <v>61</v>
      </c>
    </row>
    <row r="927" spans="1:21" ht="12.75" customHeight="1" x14ac:dyDescent="0.3">
      <c r="A927" s="530" t="str">
        <f t="shared" ref="A927:A938" si="32">B927&amp;"."&amp;D927&amp;"."&amp;E927&amp;"."&amp;F927</f>
        <v>North Wales.2012.Economic Impact.Staying Visitor</v>
      </c>
      <c r="B927" s="530" t="s">
        <v>220</v>
      </c>
      <c r="C927" s="530" t="str">
        <f t="shared" ref="C927:C938" si="33">D927&amp;"."&amp;E927&amp;"."&amp;F927</f>
        <v>2012.Economic Impact.Staying Visitor</v>
      </c>
      <c r="D927" s="530" t="s">
        <v>229</v>
      </c>
      <c r="E927" s="530" t="s">
        <v>17</v>
      </c>
      <c r="F927" s="530" t="s">
        <v>140</v>
      </c>
      <c r="G927" s="530" t="s">
        <v>140</v>
      </c>
      <c r="H927" s="530">
        <f>SUM(SUMIFS(H:H,$D:$D,$D927,$E:$E,$E927,$F:$F,{"Serviced Accommodation","Non-Serviced Accommodation","SFR"}))</f>
        <v>41875.142445709243</v>
      </c>
      <c r="I927" s="530">
        <f>SUM(SUMIFS(I:I,$D:$D,$D927,$E:$E,$E927,$F:$F,{"Serviced Accommodation","Non-Serviced Accommodation","SFR"}))</f>
        <v>45882.930949854388</v>
      </c>
      <c r="J927" s="530">
        <f>SUM(SUMIFS(J:J,$D:$D,$D927,$E:$E,$E927,$F:$F,{"Serviced Accommodation","Non-Serviced Accommodation","SFR"}))</f>
        <v>84859.000694759176</v>
      </c>
      <c r="K927" s="530">
        <f>SUM(SUMIFS(K:K,$D:$D,$D927,$E:$E,$E927,$F:$F,{"Serviced Accommodation","Non-Serviced Accommodation","SFR"}))</f>
        <v>164465.50134519621</v>
      </c>
      <c r="L927" s="530">
        <f>SUM(SUMIFS(L:L,$D:$D,$D927,$E:$E,$E927,$F:$F,{"Serviced Accommodation","Non-Serviced Accommodation","SFR"}))</f>
        <v>170784.41390989989</v>
      </c>
      <c r="M927" s="530">
        <f>SUM(SUMIFS(M:M,$D:$D,$D927,$E:$E,$E927,$F:$F,{"Serviced Accommodation","Non-Serviced Accommodation","SFR"}))</f>
        <v>212487.46142684435</v>
      </c>
      <c r="N927" s="530">
        <f>SUM(SUMIFS(N:N,$D:$D,$D927,$E:$E,$E927,$F:$F,{"Serviced Accommodation","Non-Serviced Accommodation","SFR"}))</f>
        <v>270430.70701665763</v>
      </c>
      <c r="O927" s="530">
        <f>SUM(SUMIFS(O:O,$D:$D,$D927,$E:$E,$E927,$F:$F,{"Serviced Accommodation","Non-Serviced Accommodation","SFR"}))</f>
        <v>308918.88368839072</v>
      </c>
      <c r="P927" s="530">
        <f>SUM(SUMIFS(P:P,$D:$D,$D927,$E:$E,$E927,$F:$F,{"Serviced Accommodation","Non-Serviced Accommodation","SFR"}))</f>
        <v>226585.36698988217</v>
      </c>
      <c r="Q927" s="530">
        <f>SUM(SUMIFS(Q:Q,$D:$D,$D927,$E:$E,$E927,$F:$F,{"Serviced Accommodation","Non-Serviced Accommodation","SFR"}))</f>
        <v>159476.81556570192</v>
      </c>
      <c r="R927" s="530">
        <f>SUM(SUMIFS(R:R,$D:$D,$D927,$E:$E,$E927,$F:$F,{"Serviced Accommodation","Non-Serviced Accommodation","SFR"}))</f>
        <v>64777.459833467699</v>
      </c>
      <c r="S927" s="530">
        <f>SUM(SUMIFS(S:S,$D:$D,$D927,$E:$E,$E927,$F:$F,{"Serviced Accommodation","Non-Serviced Accommodation","SFR"}))</f>
        <v>54403.6595284414</v>
      </c>
      <c r="T927" s="530">
        <f>SUM(SUMIFS(T:T,$D:$D,$D927,$E:$E,$E927,$F:$F,{"Serviced Accommodation","Non-Serviced Accommodation","SFR"}))</f>
        <v>1804947.3433948047</v>
      </c>
      <c r="U927" s="530" t="s">
        <v>57</v>
      </c>
    </row>
    <row r="928" spans="1:21" ht="12.75" customHeight="1" x14ac:dyDescent="0.3">
      <c r="A928" s="530" t="str">
        <f t="shared" si="32"/>
        <v>North Wales.2012.Employment.Staying Visitor</v>
      </c>
      <c r="B928" s="530" t="s">
        <v>220</v>
      </c>
      <c r="C928" s="530" t="str">
        <f t="shared" si="33"/>
        <v>2012.Employment.Staying Visitor</v>
      </c>
      <c r="D928" s="530" t="s">
        <v>229</v>
      </c>
      <c r="E928" s="530" t="s">
        <v>20</v>
      </c>
      <c r="F928" s="530" t="s">
        <v>140</v>
      </c>
      <c r="G928" s="530" t="s">
        <v>140</v>
      </c>
      <c r="H928" s="530">
        <f>SUM(SUMIFS(H:H,$D:$D,$D928,$E:$E,$E928,$F:$F,{"Serviced Accommodation","Non-Serviced Accommodation","SFR"}))</f>
        <v>11683.18285072423</v>
      </c>
      <c r="I928" s="530">
        <f>SUM(SUMIFS(I:I,$D:$D,$D928,$E:$E,$E928,$F:$F,{"Serviced Accommodation","Non-Serviced Accommodation","SFR"}))</f>
        <v>11817.747060816917</v>
      </c>
      <c r="J928" s="530">
        <f>SUM(SUMIFS(J:J,$D:$D,$D928,$E:$E,$E928,$F:$F,{"Serviced Accommodation","Non-Serviced Accommodation","SFR"}))</f>
        <v>16993.621149731862</v>
      </c>
      <c r="K928" s="530">
        <f>SUM(SUMIFS(K:K,$D:$D,$D928,$E:$E,$E928,$F:$F,{"Serviced Accommodation","Non-Serviced Accommodation","SFR"}))</f>
        <v>28942.336366405783</v>
      </c>
      <c r="L928" s="530">
        <f>SUM(SUMIFS(L:L,$D:$D,$D928,$E:$E,$E928,$F:$F,{"Serviced Accommodation","Non-Serviced Accommodation","SFR"}))</f>
        <v>29621.795000347396</v>
      </c>
      <c r="M928" s="530">
        <f>SUM(SUMIFS(M:M,$D:$D,$D928,$E:$E,$E928,$F:$F,{"Serviced Accommodation","Non-Serviced Accommodation","SFR"}))</f>
        <v>34228.278074008253</v>
      </c>
      <c r="N928" s="530">
        <f>SUM(SUMIFS(N:N,$D:$D,$D928,$E:$E,$E928,$F:$F,{"Serviced Accommodation","Non-Serviced Accommodation","SFR"}))</f>
        <v>37949.902739850048</v>
      </c>
      <c r="O928" s="530">
        <f>SUM(SUMIFS(O:O,$D:$D,$D928,$E:$E,$E928,$F:$F,{"Serviced Accommodation","Non-Serviced Accommodation","SFR"}))</f>
        <v>41449.443897142177</v>
      </c>
      <c r="P928" s="530">
        <f>SUM(SUMIFS(P:P,$D:$D,$D928,$E:$E,$E928,$F:$F,{"Serviced Accommodation","Non-Serviced Accommodation","SFR"}))</f>
        <v>31909.113604296002</v>
      </c>
      <c r="Q928" s="530">
        <f>SUM(SUMIFS(Q:Q,$D:$D,$D928,$E:$E,$E928,$F:$F,{"Serviced Accommodation","Non-Serviced Accommodation","SFR"}))</f>
        <v>28024.382959346058</v>
      </c>
      <c r="R928" s="530">
        <f>SUM(SUMIFS(R:R,$D:$D,$D928,$E:$E,$E928,$F:$F,{"Serviced Accommodation","Non-Serviced Accommodation","SFR"}))</f>
        <v>14243.966390693658</v>
      </c>
      <c r="S928" s="530">
        <f>SUM(SUMIFS(S:S,$D:$D,$D928,$E:$E,$E928,$F:$F,{"Serviced Accommodation","Non-Serviced Accommodation","SFR"}))</f>
        <v>13016.041677319889</v>
      </c>
      <c r="T928" s="530">
        <f>SUM(SUMIFS(T:T,$D:$D,$D928,$E:$E,$E928,$F:$F,{"Serviced Accommodation","Non-Serviced Accommodation","SFR"}))</f>
        <v>24989.984314223522</v>
      </c>
      <c r="U928" s="530" t="s">
        <v>59</v>
      </c>
    </row>
    <row r="929" spans="1:21" ht="12.75" customHeight="1" x14ac:dyDescent="0.3">
      <c r="A929" s="530" t="str">
        <f t="shared" si="32"/>
        <v>North Wales.2012.Visitor Days.Staying Visitor</v>
      </c>
      <c r="B929" s="530" t="s">
        <v>220</v>
      </c>
      <c r="C929" s="530" t="str">
        <f t="shared" si="33"/>
        <v>2012.Visitor Days.Staying Visitor</v>
      </c>
      <c r="D929" s="530" t="s">
        <v>229</v>
      </c>
      <c r="E929" s="530" t="s">
        <v>171</v>
      </c>
      <c r="F929" s="530" t="s">
        <v>140</v>
      </c>
      <c r="G929" s="530" t="s">
        <v>140</v>
      </c>
      <c r="H929" s="530">
        <f>SUM(SUMIFS(H:H,$D:$D,$D929,$E:$E,$E929,$F:$F,{"Serviced Accommodation","Non-Serviced Accommodation","SFR"}))</f>
        <v>942.93862470035128</v>
      </c>
      <c r="I929" s="530">
        <f>SUM(SUMIFS(I:I,$D:$D,$D929,$E:$E,$E929,$F:$F,{"Serviced Accommodation","Non-Serviced Accommodation","SFR"}))</f>
        <v>910.91454151682194</v>
      </c>
      <c r="J929" s="530">
        <f>SUM(SUMIFS(J:J,$D:$D,$D929,$E:$E,$E929,$F:$F,{"Serviced Accommodation","Non-Serviced Accommodation","SFR"}))</f>
        <v>2003.1317589349053</v>
      </c>
      <c r="K929" s="530">
        <f>SUM(SUMIFS(K:K,$D:$D,$D929,$E:$E,$E929,$F:$F,{"Serviced Accommodation","Non-Serviced Accommodation","SFR"}))</f>
        <v>4014.5634691024866</v>
      </c>
      <c r="L929" s="530">
        <f>SUM(SUMIFS(L:L,$D:$D,$D929,$E:$E,$E929,$F:$F,{"Serviced Accommodation","Non-Serviced Accommodation","SFR"}))</f>
        <v>4208.6442605717193</v>
      </c>
      <c r="M929" s="530">
        <f>SUM(SUMIFS(M:M,$D:$D,$D929,$E:$E,$E929,$F:$F,{"Serviced Accommodation","Non-Serviced Accommodation","SFR"}))</f>
        <v>5086.1155716065059</v>
      </c>
      <c r="N929" s="530">
        <f>SUM(SUMIFS(N:N,$D:$D,$D929,$E:$E,$E929,$F:$F,{"Serviced Accommodation","Non-Serviced Accommodation","SFR"}))</f>
        <v>6057.9265921915494</v>
      </c>
      <c r="O929" s="530">
        <f>SUM(SUMIFS(O:O,$D:$D,$D929,$E:$E,$E929,$F:$F,{"Serviced Accommodation","Non-Serviced Accommodation","SFR"}))</f>
        <v>6713.053432791572</v>
      </c>
      <c r="P929" s="530">
        <f>SUM(SUMIFS(P:P,$D:$D,$D929,$E:$E,$E929,$F:$F,{"Serviced Accommodation","Non-Serviced Accommodation","SFR"}))</f>
        <v>4686.8323360476397</v>
      </c>
      <c r="Q929" s="530">
        <f>SUM(SUMIFS(Q:Q,$D:$D,$D929,$E:$E,$E929,$F:$F,{"Serviced Accommodation","Non-Serviced Accommodation","SFR"}))</f>
        <v>3903.1251113093181</v>
      </c>
      <c r="R929" s="530">
        <f>SUM(SUMIFS(R:R,$D:$D,$D929,$E:$E,$E929,$F:$F,{"Serviced Accommodation","Non-Serviced Accommodation","SFR"}))</f>
        <v>1410.3745330438833</v>
      </c>
      <c r="S929" s="530">
        <f>SUM(SUMIFS(S:S,$D:$D,$D929,$E:$E,$E929,$F:$F,{"Serviced Accommodation","Non-Serviced Accommodation","SFR"}))</f>
        <v>1170.2877255763487</v>
      </c>
      <c r="T929" s="530">
        <f>SUM(SUMIFS(T:T,$D:$D,$D929,$E:$E,$E929,$F:$F,{"Serviced Accommodation","Non-Serviced Accommodation","SFR"}))</f>
        <v>41107.907957393101</v>
      </c>
      <c r="U929" s="530" t="s">
        <v>61</v>
      </c>
    </row>
    <row r="930" spans="1:21" ht="12.75" customHeight="1" x14ac:dyDescent="0.3">
      <c r="A930" s="530" t="str">
        <f t="shared" si="32"/>
        <v>North Wales.2012.Visitor Numbers.Staying Visitor</v>
      </c>
      <c r="B930" s="530" t="s">
        <v>220</v>
      </c>
      <c r="C930" s="530" t="str">
        <f t="shared" si="33"/>
        <v>2012.Visitor Numbers.Staying Visitor</v>
      </c>
      <c r="D930" s="530" t="s">
        <v>229</v>
      </c>
      <c r="E930" s="530" t="s">
        <v>172</v>
      </c>
      <c r="F930" s="530" t="s">
        <v>140</v>
      </c>
      <c r="G930" s="530" t="s">
        <v>140</v>
      </c>
      <c r="H930" s="530">
        <f>SUM(SUMIFS(H:H,$D:$D,$D930,$E:$E,$E930,$F:$F,{"Serviced Accommodation","Non-Serviced Accommodation","SFR"}))</f>
        <v>373.69734773997641</v>
      </c>
      <c r="I930" s="530">
        <f>SUM(SUMIFS(I:I,$D:$D,$D930,$E:$E,$E930,$F:$F,{"Serviced Accommodation","Non-Serviced Accommodation","SFR"}))</f>
        <v>358.45577923170208</v>
      </c>
      <c r="J930" s="530">
        <f>SUM(SUMIFS(J:J,$D:$D,$D930,$E:$E,$E930,$F:$F,{"Serviced Accommodation","Non-Serviced Accommodation","SFR"}))</f>
        <v>536.54849331937885</v>
      </c>
      <c r="K930" s="530">
        <f>SUM(SUMIFS(K:K,$D:$D,$D930,$E:$E,$E930,$F:$F,{"Serviced Accommodation","Non-Serviced Accommodation","SFR"}))</f>
        <v>854.41013395419327</v>
      </c>
      <c r="L930" s="530">
        <f>SUM(SUMIFS(L:L,$D:$D,$D930,$E:$E,$E930,$F:$F,{"Serviced Accommodation","Non-Serviced Accommodation","SFR"}))</f>
        <v>857.7242200242697</v>
      </c>
      <c r="M930" s="530">
        <f>SUM(SUMIFS(M:M,$D:$D,$D930,$E:$E,$E930,$F:$F,{"Serviced Accommodation","Non-Serviced Accommodation","SFR"}))</f>
        <v>992.88106258149242</v>
      </c>
      <c r="N930" s="530">
        <f>SUM(SUMIFS(N:N,$D:$D,$D930,$E:$E,$E930,$F:$F,{"Serviced Accommodation","Non-Serviced Accommodation","SFR"}))</f>
        <v>1128.3282095495929</v>
      </c>
      <c r="O930" s="530">
        <f>SUM(SUMIFS(O:O,$D:$D,$D930,$E:$E,$E930,$F:$F,{"Serviced Accommodation","Non-Serviced Accommodation","SFR"}))</f>
        <v>1224.8871142062874</v>
      </c>
      <c r="P930" s="530">
        <f>SUM(SUMIFS(P:P,$D:$D,$D930,$E:$E,$E930,$F:$F,{"Serviced Accommodation","Non-Serviced Accommodation","SFR"}))</f>
        <v>898.26801570457349</v>
      </c>
      <c r="Q930" s="530">
        <f>SUM(SUMIFS(Q:Q,$D:$D,$D930,$E:$E,$E930,$F:$F,{"Serviced Accommodation","Non-Serviced Accommodation","SFR"}))</f>
        <v>776.88955784674988</v>
      </c>
      <c r="R930" s="530">
        <f>SUM(SUMIFS(R:R,$D:$D,$D930,$E:$E,$E930,$F:$F,{"Serviced Accommodation","Non-Serviced Accommodation","SFR"}))</f>
        <v>446.57481012476092</v>
      </c>
      <c r="S930" s="530">
        <f>SUM(SUMIFS(S:S,$D:$D,$D930,$E:$E,$E930,$F:$F,{"Serviced Accommodation","Non-Serviced Accommodation","SFR"}))</f>
        <v>371.94682776704377</v>
      </c>
      <c r="T930" s="530">
        <f>SUM(SUMIFS(T:T,$D:$D,$D930,$E:$E,$E930,$F:$F,{"Serviced Accommodation","Non-Serviced Accommodation","SFR"}))</f>
        <v>8820.6115720500202</v>
      </c>
      <c r="U930" s="530" t="s">
        <v>61</v>
      </c>
    </row>
    <row r="931" spans="1:21" ht="12.75" customHeight="1" x14ac:dyDescent="0.3">
      <c r="A931" s="530" t="str">
        <f t="shared" si="32"/>
        <v>North Wales.2012.Vehicle Days.Staying Visitor</v>
      </c>
      <c r="B931" s="530" t="s">
        <v>220</v>
      </c>
      <c r="C931" s="530" t="str">
        <f t="shared" si="33"/>
        <v>2012.Vehicle Days.Staying Visitor</v>
      </c>
      <c r="D931" s="530" t="s">
        <v>229</v>
      </c>
      <c r="E931" s="530" t="s">
        <v>21</v>
      </c>
      <c r="F931" s="530" t="s">
        <v>140</v>
      </c>
      <c r="G931" s="530" t="s">
        <v>140</v>
      </c>
      <c r="H931" s="530">
        <f>SUM(SUMIFS(H:H,$D:$D,$D931,$E:$E,$E931,$F:$F,{"Serviced Accommodation","Non-Serviced Accommodation","SFR"}))</f>
        <v>258.70276113752607</v>
      </c>
      <c r="I931" s="530">
        <f>SUM(SUMIFS(I:I,$D:$D,$D931,$E:$E,$E931,$F:$F,{"Serviced Accommodation","Non-Serviced Accommodation","SFR"}))</f>
        <v>274.92590115322571</v>
      </c>
      <c r="J931" s="530">
        <f>SUM(SUMIFS(J:J,$D:$D,$D931,$E:$E,$E931,$F:$F,{"Serviced Accommodation","Non-Serviced Accommodation","SFR"}))</f>
        <v>549.10042637032768</v>
      </c>
      <c r="K931" s="530">
        <f>SUM(SUMIFS(K:K,$D:$D,$D931,$E:$E,$E931,$F:$F,{"Serviced Accommodation","Non-Serviced Accommodation","SFR"}))</f>
        <v>1063.5511103064482</v>
      </c>
      <c r="L931" s="530">
        <f>SUM(SUMIFS(L:L,$D:$D,$D931,$E:$E,$E931,$F:$F,{"Serviced Accommodation","Non-Serviced Accommodation","SFR"}))</f>
        <v>1130.8209272629165</v>
      </c>
      <c r="M931" s="530">
        <f>SUM(SUMIFS(M:M,$D:$D,$D931,$E:$E,$E931,$F:$F,{"Serviced Accommodation","Non-Serviced Accommodation","SFR"}))</f>
        <v>1390.1363789380719</v>
      </c>
      <c r="N931" s="530">
        <f>SUM(SUMIFS(N:N,$D:$D,$D931,$E:$E,$E931,$F:$F,{"Serviced Accommodation","Non-Serviced Accommodation","SFR"}))</f>
        <v>1588.4692586749197</v>
      </c>
      <c r="O931" s="530">
        <f>SUM(SUMIFS(O:O,$D:$D,$D931,$E:$E,$E931,$F:$F,{"Serviced Accommodation","Non-Serviced Accommodation","SFR"}))</f>
        <v>1756.857944632831</v>
      </c>
      <c r="P931" s="530">
        <f>SUM(SUMIFS(P:P,$D:$D,$D931,$E:$E,$E931,$F:$F,{"Serviced Accommodation","Non-Serviced Accommodation","SFR"}))</f>
        <v>1249.6135549068381</v>
      </c>
      <c r="Q931" s="530">
        <f>SUM(SUMIFS(Q:Q,$D:$D,$D931,$E:$E,$E931,$F:$F,{"Serviced Accommodation","Non-Serviced Accommodation","SFR"}))</f>
        <v>1037.2852505883816</v>
      </c>
      <c r="R931" s="530">
        <f>SUM(SUMIFS(R:R,$D:$D,$D931,$E:$E,$E931,$F:$F,{"Serviced Accommodation","Non-Serviced Accommodation","SFR"}))</f>
        <v>383.40926835724247</v>
      </c>
      <c r="S931" s="530">
        <f>SUM(SUMIFS(S:S,$D:$D,$D931,$E:$E,$E931,$F:$F,{"Serviced Accommodation","Non-Serviced Accommodation","SFR"}))</f>
        <v>309.04481159704062</v>
      </c>
      <c r="T931" s="530">
        <f>SUM(SUMIFS(T:T,$D:$D,$D931,$E:$E,$E931,$F:$F,{"Serviced Accommodation","Non-Serviced Accommodation","SFR"}))</f>
        <v>10991.917593925771</v>
      </c>
      <c r="U931" s="530" t="s">
        <v>61</v>
      </c>
    </row>
    <row r="932" spans="1:21" ht="12.75" customHeight="1" x14ac:dyDescent="0.3">
      <c r="A932" s="530" t="str">
        <f t="shared" si="32"/>
        <v>North Wales.2012.Vehicle Numbers.Staying Visitor</v>
      </c>
      <c r="B932" s="530" t="s">
        <v>220</v>
      </c>
      <c r="C932" s="530" t="str">
        <f t="shared" si="33"/>
        <v>2012.Vehicle Numbers.Staying Visitor</v>
      </c>
      <c r="D932" s="530" t="s">
        <v>229</v>
      </c>
      <c r="E932" s="530" t="s">
        <v>22</v>
      </c>
      <c r="F932" s="530" t="s">
        <v>140</v>
      </c>
      <c r="G932" s="530" t="s">
        <v>140</v>
      </c>
      <c r="H932" s="530">
        <f>SUM(SUMIFS(H:H,$D:$D,$D932,$E:$E,$E932,$F:$F,{"Serviced Accommodation","Non-Serviced Accommodation","SFR"}))</f>
        <v>102.90878871057564</v>
      </c>
      <c r="I932" s="530">
        <f>SUM(SUMIFS(I:I,$D:$D,$D932,$E:$E,$E932,$F:$F,{"Serviced Accommodation","Non-Serviced Accommodation","SFR"}))</f>
        <v>112.83302067056987</v>
      </c>
      <c r="J932" s="530">
        <f>SUM(SUMIFS(J:J,$D:$D,$D932,$E:$E,$E932,$F:$F,{"Serviced Accommodation","Non-Serviced Accommodation","SFR"}))</f>
        <v>155.54244796644122</v>
      </c>
      <c r="K932" s="530">
        <f>SUM(SUMIFS(K:K,$D:$D,$D932,$E:$E,$E932,$F:$F,{"Serviced Accommodation","Non-Serviced Accommodation","SFR"}))</f>
        <v>228.82149800144472</v>
      </c>
      <c r="L932" s="530">
        <f>SUM(SUMIFS(L:L,$D:$D,$D932,$E:$E,$E932,$F:$F,{"Serviced Accommodation","Non-Serviced Accommodation","SFR"}))</f>
        <v>235.07662854203937</v>
      </c>
      <c r="M932" s="530">
        <f>SUM(SUMIFS(M:M,$D:$D,$D932,$E:$E,$E932,$F:$F,{"Serviced Accommodation","Non-Serviced Accommodation","SFR"}))</f>
        <v>274.44825800017611</v>
      </c>
      <c r="N932" s="530">
        <f>SUM(SUMIFS(N:N,$D:$D,$D932,$E:$E,$E932,$F:$F,{"Serviced Accommodation","Non-Serviced Accommodation","SFR"}))</f>
        <v>298.82090975639619</v>
      </c>
      <c r="O932" s="530">
        <f>SUM(SUMIFS(O:O,$D:$D,$D932,$E:$E,$E932,$F:$F,{"Serviced Accommodation","Non-Serviced Accommodation","SFR"}))</f>
        <v>323.68791176799903</v>
      </c>
      <c r="P932" s="530">
        <f>SUM(SUMIFS(P:P,$D:$D,$D932,$E:$E,$E932,$F:$F,{"Serviced Accommodation","Non-Serviced Accommodation","SFR"}))</f>
        <v>240.4767398494736</v>
      </c>
      <c r="Q932" s="530">
        <f>SUM(SUMIFS(Q:Q,$D:$D,$D932,$E:$E,$E932,$F:$F,{"Serviced Accommodation","Non-Serviced Accommodation","SFR"}))</f>
        <v>214.79425083175539</v>
      </c>
      <c r="R932" s="530">
        <f>SUM(SUMIFS(R:R,$D:$D,$D932,$E:$E,$E932,$F:$F,{"Serviced Accommodation","Non-Serviced Accommodation","SFR"}))</f>
        <v>126.06499273788917</v>
      </c>
      <c r="S932" s="530">
        <f>SUM(SUMIFS(S:S,$D:$D,$D932,$E:$E,$E932,$F:$F,{"Serviced Accommodation","Non-Serviced Accommodation","SFR"}))</f>
        <v>101.05922971260981</v>
      </c>
      <c r="T932" s="530">
        <f>SUM(SUMIFS(T:T,$D:$D,$D932,$E:$E,$E932,$F:$F,{"Serviced Accommodation","Non-Serviced Accommodation","SFR"}))</f>
        <v>2414.5346765473701</v>
      </c>
      <c r="U932" s="530" t="s">
        <v>61</v>
      </c>
    </row>
    <row r="933" spans="1:21" ht="12.75" customHeight="1" x14ac:dyDescent="0.3">
      <c r="A933" s="530" t="str">
        <f t="shared" si="32"/>
        <v>North Wales.2013.Economic Impact.Staying Visitor</v>
      </c>
      <c r="B933" s="530" t="s">
        <v>220</v>
      </c>
      <c r="C933" s="530" t="str">
        <f t="shared" si="33"/>
        <v>2013.Economic Impact.Staying Visitor</v>
      </c>
      <c r="D933" s="530" t="s">
        <v>230</v>
      </c>
      <c r="E933" s="530" t="s">
        <v>17</v>
      </c>
      <c r="F933" s="530" t="s">
        <v>140</v>
      </c>
      <c r="G933" s="530" t="s">
        <v>140</v>
      </c>
      <c r="H933" s="530">
        <f>SUM(SUMIFS(H:H,$D:$D,$D933,$E:$E,$E933,$F:$F,{"Serviced Accommodation","Non-Serviced Accommodation","SFR"}))</f>
        <v>50039.971989542995</v>
      </c>
      <c r="I933" s="530">
        <f>SUM(SUMIFS(I:I,$D:$D,$D933,$E:$E,$E933,$F:$F,{"Serviced Accommodation","Non-Serviced Accommodation","SFR"}))</f>
        <v>61273.54119344335</v>
      </c>
      <c r="J933" s="530">
        <f>SUM(SUMIFS(J:J,$D:$D,$D933,$E:$E,$E933,$F:$F,{"Serviced Accommodation","Non-Serviced Accommodation","SFR"}))</f>
        <v>131741.57653700886</v>
      </c>
      <c r="K933" s="530">
        <f>SUM(SUMIFS(K:K,$D:$D,$D933,$E:$E,$E933,$F:$F,{"Serviced Accommodation","Non-Serviced Accommodation","SFR"}))</f>
        <v>159856.293241687</v>
      </c>
      <c r="L933" s="530">
        <f>SUM(SUMIFS(L:L,$D:$D,$D933,$E:$E,$E933,$F:$F,{"Serviced Accommodation","Non-Serviced Accommodation","SFR"}))</f>
        <v>192732.38939083336</v>
      </c>
      <c r="M933" s="530">
        <f>SUM(SUMIFS(M:M,$D:$D,$D933,$E:$E,$E933,$F:$F,{"Serviced Accommodation","Non-Serviced Accommodation","SFR"}))</f>
        <v>212720.15387513785</v>
      </c>
      <c r="N933" s="530">
        <f>SUM(SUMIFS(N:N,$D:$D,$D933,$E:$E,$E933,$F:$F,{"Serviced Accommodation","Non-Serviced Accommodation","SFR"}))</f>
        <v>288935.03795020143</v>
      </c>
      <c r="O933" s="530">
        <f>SUM(SUMIFS(O:O,$D:$D,$D933,$E:$E,$E933,$F:$F,{"Serviced Accommodation","Non-Serviced Accommodation","SFR"}))</f>
        <v>330983.66504705528</v>
      </c>
      <c r="P933" s="530">
        <f>SUM(SUMIFS(P:P,$D:$D,$D933,$E:$E,$E933,$F:$F,{"Serviced Accommodation","Non-Serviced Accommodation","SFR"}))</f>
        <v>224593.12776803513</v>
      </c>
      <c r="Q933" s="530">
        <f>SUM(SUMIFS(Q:Q,$D:$D,$D933,$E:$E,$E933,$F:$F,{"Serviced Accommodation","Non-Serviced Accommodation","SFR"}))</f>
        <v>149359.78898030371</v>
      </c>
      <c r="R933" s="530">
        <f>SUM(SUMIFS(R:R,$D:$D,$D933,$E:$E,$E933,$F:$F,{"Serviced Accommodation","Non-Serviced Accommodation","SFR"}))</f>
        <v>78905.074172275708</v>
      </c>
      <c r="S933" s="530">
        <f>SUM(SUMIFS(S:S,$D:$D,$D933,$E:$E,$E933,$F:$F,{"Serviced Accommodation","Non-Serviced Accommodation","SFR"}))</f>
        <v>65334.276410613049</v>
      </c>
      <c r="T933" s="530">
        <f>SUM(SUMIFS(T:T,$D:$D,$D933,$E:$E,$E933,$F:$F,{"Serviced Accommodation","Non-Serviced Accommodation","SFR"}))</f>
        <v>1946474.8965561378</v>
      </c>
      <c r="U933" s="530" t="s">
        <v>57</v>
      </c>
    </row>
    <row r="934" spans="1:21" ht="12.75" customHeight="1" x14ac:dyDescent="0.3">
      <c r="A934" s="530" t="str">
        <f t="shared" si="32"/>
        <v>North Wales.2013.Employment.Staying Visitor</v>
      </c>
      <c r="B934" s="530" t="s">
        <v>220</v>
      </c>
      <c r="C934" s="530" t="str">
        <f t="shared" si="33"/>
        <v>2013.Employment.Staying Visitor</v>
      </c>
      <c r="D934" s="530" t="s">
        <v>230</v>
      </c>
      <c r="E934" s="530" t="s">
        <v>20</v>
      </c>
      <c r="F934" s="530" t="s">
        <v>140</v>
      </c>
      <c r="G934" s="530" t="s">
        <v>140</v>
      </c>
      <c r="H934" s="530">
        <f>SUM(SUMIFS(H:H,$D:$D,$D934,$E:$E,$E934,$F:$F,{"Serviced Accommodation","Non-Serviced Accommodation","SFR"}))</f>
        <v>13963.400605750998</v>
      </c>
      <c r="I934" s="530">
        <f>SUM(SUMIFS(I:I,$D:$D,$D934,$E:$E,$E934,$F:$F,{"Serviced Accommodation","Non-Serviced Accommodation","SFR"}))</f>
        <v>14620.3651304988</v>
      </c>
      <c r="J934" s="530">
        <f>SUM(SUMIFS(J:J,$D:$D,$D934,$E:$E,$E934,$F:$F,{"Serviced Accommodation","Non-Serviced Accommodation","SFR"}))</f>
        <v>23965.711265546997</v>
      </c>
      <c r="K934" s="530">
        <f>SUM(SUMIFS(K:K,$D:$D,$D934,$E:$E,$E934,$F:$F,{"Serviced Accommodation","Non-Serviced Accommodation","SFR"}))</f>
        <v>27764.772627303166</v>
      </c>
      <c r="L934" s="530">
        <f>SUM(SUMIFS(L:L,$D:$D,$D934,$E:$E,$E934,$F:$F,{"Serviced Accommodation","Non-Serviced Accommodation","SFR"}))</f>
        <v>31124.500101574369</v>
      </c>
      <c r="M934" s="530">
        <f>SUM(SUMIFS(M:M,$D:$D,$D934,$E:$E,$E934,$F:$F,{"Serviced Accommodation","Non-Serviced Accommodation","SFR"}))</f>
        <v>33491.536788555197</v>
      </c>
      <c r="N934" s="530">
        <f>SUM(SUMIFS(N:N,$D:$D,$D934,$E:$E,$E934,$F:$F,{"Serviced Accommodation","Non-Serviced Accommodation","SFR"}))</f>
        <v>38594.160256456082</v>
      </c>
      <c r="O934" s="530">
        <f>SUM(SUMIFS(O:O,$D:$D,$D934,$E:$E,$E934,$F:$F,{"Serviced Accommodation","Non-Serviced Accommodation","SFR"}))</f>
        <v>42647.250828821285</v>
      </c>
      <c r="P934" s="530">
        <f>SUM(SUMIFS(P:P,$D:$D,$D934,$E:$E,$E934,$F:$F,{"Serviced Accommodation","Non-Serviced Accommodation","SFR"}))</f>
        <v>31036.041517837366</v>
      </c>
      <c r="Q934" s="530">
        <f>SUM(SUMIFS(Q:Q,$D:$D,$D934,$E:$E,$E934,$F:$F,{"Serviced Accommodation","Non-Serviced Accommodation","SFR"}))</f>
        <v>26287.66166208369</v>
      </c>
      <c r="R934" s="530">
        <f>SUM(SUMIFS(R:R,$D:$D,$D934,$E:$E,$E934,$F:$F,{"Serviced Accommodation","Non-Serviced Accommodation","SFR"}))</f>
        <v>17254.339455135847</v>
      </c>
      <c r="S934" s="530">
        <f>SUM(SUMIFS(S:S,$D:$D,$D934,$E:$E,$E934,$F:$F,{"Serviced Accommodation","Non-Serviced Accommodation","SFR"}))</f>
        <v>15651.97159299436</v>
      </c>
      <c r="T934" s="530">
        <f>SUM(SUMIFS(T:T,$D:$D,$D934,$E:$E,$E934,$F:$F,{"Serviced Accommodation","Non-Serviced Accommodation","SFR"}))</f>
        <v>26366.809319379845</v>
      </c>
      <c r="U934" s="530" t="s">
        <v>59</v>
      </c>
    </row>
    <row r="935" spans="1:21" ht="12.75" customHeight="1" x14ac:dyDescent="0.3">
      <c r="A935" s="530" t="str">
        <f t="shared" si="32"/>
        <v>North Wales.2013.Visitor Days.Staying Visitor</v>
      </c>
      <c r="B935" s="530" t="s">
        <v>220</v>
      </c>
      <c r="C935" s="530" t="str">
        <f t="shared" si="33"/>
        <v>2013.Visitor Days.Staying Visitor</v>
      </c>
      <c r="D935" s="530" t="s">
        <v>230</v>
      </c>
      <c r="E935" s="530" t="s">
        <v>171</v>
      </c>
      <c r="F935" s="530" t="s">
        <v>140</v>
      </c>
      <c r="G935" s="530" t="s">
        <v>140</v>
      </c>
      <c r="H935" s="530">
        <f>SUM(SUMIFS(H:H,$D:$D,$D935,$E:$E,$E935,$F:$F,{"Serviced Accommodation","Non-Serviced Accommodation","SFR"}))</f>
        <v>1079.0637426763058</v>
      </c>
      <c r="I935" s="530">
        <f>SUM(SUMIFS(I:I,$D:$D,$D935,$E:$E,$E935,$F:$F,{"Serviced Accommodation","Non-Serviced Accommodation","SFR"}))</f>
        <v>1134.3378666028916</v>
      </c>
      <c r="J935" s="530">
        <f>SUM(SUMIFS(J:J,$D:$D,$D935,$E:$E,$E935,$F:$F,{"Serviced Accommodation","Non-Serviced Accommodation","SFR"}))</f>
        <v>3047.7314707453247</v>
      </c>
      <c r="K935" s="530">
        <f>SUM(SUMIFS(K:K,$D:$D,$D935,$E:$E,$E935,$F:$F,{"Serviced Accommodation","Non-Serviced Accommodation","SFR"}))</f>
        <v>3819.9746584400104</v>
      </c>
      <c r="L935" s="530">
        <f>SUM(SUMIFS(L:L,$D:$D,$D935,$E:$E,$E935,$F:$F,{"Serviced Accommodation","Non-Serviced Accommodation","SFR"}))</f>
        <v>4560.899128518613</v>
      </c>
      <c r="M935" s="530">
        <f>SUM(SUMIFS(M:M,$D:$D,$D935,$E:$E,$E935,$F:$F,{"Serviced Accommodation","Non-Serviced Accommodation","SFR"}))</f>
        <v>5041.1687573547861</v>
      </c>
      <c r="N935" s="530">
        <f>SUM(SUMIFS(N:N,$D:$D,$D935,$E:$E,$E935,$F:$F,{"Serviced Accommodation","Non-Serviced Accommodation","SFR"}))</f>
        <v>6262.6218981594266</v>
      </c>
      <c r="O935" s="530">
        <f>SUM(SUMIFS(O:O,$D:$D,$D935,$E:$E,$E935,$F:$F,{"Serviced Accommodation","Non-Serviced Accommodation","SFR"}))</f>
        <v>7012.6344374507453</v>
      </c>
      <c r="P935" s="530">
        <f>SUM(SUMIFS(P:P,$D:$D,$D935,$E:$E,$E935,$F:$F,{"Serviced Accommodation","Non-Serviced Accommodation","SFR"}))</f>
        <v>4574.1507610974149</v>
      </c>
      <c r="Q935" s="530">
        <f>SUM(SUMIFS(Q:Q,$D:$D,$D935,$E:$E,$E935,$F:$F,{"Serviced Accommodation","Non-Serviced Accommodation","SFR"}))</f>
        <v>3537.7830667590911</v>
      </c>
      <c r="R935" s="530">
        <f>SUM(SUMIFS(R:R,$D:$D,$D935,$E:$E,$E935,$F:$F,{"Serviced Accommodation","Non-Serviced Accommodation","SFR"}))</f>
        <v>1683.6345030662451</v>
      </c>
      <c r="S935" s="530">
        <f>SUM(SUMIFS(S:S,$D:$D,$D935,$E:$E,$E935,$F:$F,{"Serviced Accommodation","Non-Serviced Accommodation","SFR"}))</f>
        <v>1360.9494505235286</v>
      </c>
      <c r="T935" s="530">
        <f>SUM(SUMIFS(T:T,$D:$D,$D935,$E:$E,$E935,$F:$F,{"Serviced Accommodation","Non-Serviced Accommodation","SFR"}))</f>
        <v>43114.949741394375</v>
      </c>
      <c r="U935" s="530" t="s">
        <v>61</v>
      </c>
    </row>
    <row r="936" spans="1:21" ht="12.75" customHeight="1" x14ac:dyDescent="0.3">
      <c r="A936" s="530" t="str">
        <f t="shared" si="32"/>
        <v>North Wales.2013.Visitor Numbers.Staying Visitor</v>
      </c>
      <c r="B936" s="530" t="s">
        <v>220</v>
      </c>
      <c r="C936" s="530" t="str">
        <f t="shared" si="33"/>
        <v>2013.Visitor Numbers.Staying Visitor</v>
      </c>
      <c r="D936" s="530" t="s">
        <v>230</v>
      </c>
      <c r="E936" s="530" t="s">
        <v>172</v>
      </c>
      <c r="F936" s="530" t="s">
        <v>140</v>
      </c>
      <c r="G936" s="530" t="s">
        <v>140</v>
      </c>
      <c r="H936" s="530">
        <f>SUM(SUMIFS(H:H,$D:$D,$D936,$E:$E,$E936,$F:$F,{"Serviced Accommodation","Non-Serviced Accommodation","SFR"}))</f>
        <v>417.4854865265392</v>
      </c>
      <c r="I936" s="530">
        <f>SUM(SUMIFS(I:I,$D:$D,$D936,$E:$E,$E936,$F:$F,{"Serviced Accommodation","Non-Serviced Accommodation","SFR"}))</f>
        <v>443.12122821934429</v>
      </c>
      <c r="J936" s="530">
        <f>SUM(SUMIFS(J:J,$D:$D,$D936,$E:$E,$E936,$F:$F,{"Serviced Accommodation","Non-Serviced Accommodation","SFR"}))</f>
        <v>752.5857964357732</v>
      </c>
      <c r="K936" s="530">
        <f>SUM(SUMIFS(K:K,$D:$D,$D936,$E:$E,$E936,$F:$F,{"Serviced Accommodation","Non-Serviced Accommodation","SFR"}))</f>
        <v>811.93499532796989</v>
      </c>
      <c r="L936" s="530">
        <f>SUM(SUMIFS(L:L,$D:$D,$D936,$E:$E,$E936,$F:$F,{"Serviced Accommodation","Non-Serviced Accommodation","SFR"}))</f>
        <v>912.11525169353968</v>
      </c>
      <c r="M936" s="530">
        <f>SUM(SUMIFS(M:M,$D:$D,$D936,$E:$E,$E936,$F:$F,{"Serviced Accommodation","Non-Serviced Accommodation","SFR"}))</f>
        <v>963.25489076153076</v>
      </c>
      <c r="N936" s="530">
        <f>SUM(SUMIFS(N:N,$D:$D,$D936,$E:$E,$E936,$F:$F,{"Serviced Accommodation","Non-Serviced Accommodation","SFR"}))</f>
        <v>1168.7483897807845</v>
      </c>
      <c r="O936" s="530">
        <f>SUM(SUMIFS(O:O,$D:$D,$D936,$E:$E,$E936,$F:$F,{"Serviced Accommodation","Non-Serviced Accommodation","SFR"}))</f>
        <v>1247.2877770284238</v>
      </c>
      <c r="P936" s="530">
        <f>SUM(SUMIFS(P:P,$D:$D,$D936,$E:$E,$E936,$F:$F,{"Serviced Accommodation","Non-Serviced Accommodation","SFR"}))</f>
        <v>865.71967812206583</v>
      </c>
      <c r="Q936" s="530">
        <f>SUM(SUMIFS(Q:Q,$D:$D,$D936,$E:$E,$E936,$F:$F,{"Serviced Accommodation","Non-Serviced Accommodation","SFR"}))</f>
        <v>715.52369354028576</v>
      </c>
      <c r="R936" s="530">
        <f>SUM(SUMIFS(R:R,$D:$D,$D936,$E:$E,$E936,$F:$F,{"Serviced Accommodation","Non-Serviced Accommodation","SFR"}))</f>
        <v>519.78886735696665</v>
      </c>
      <c r="S936" s="530">
        <f>SUM(SUMIFS(S:S,$D:$D,$D936,$E:$E,$E936,$F:$F,{"Serviced Accommodation","Non-Serviced Accommodation","SFR"}))</f>
        <v>416.28359589380005</v>
      </c>
      <c r="T936" s="530">
        <f>SUM(SUMIFS(T:T,$D:$D,$D936,$E:$E,$E936,$F:$F,{"Serviced Accommodation","Non-Serviced Accommodation","SFR"}))</f>
        <v>9233.8496506870233</v>
      </c>
      <c r="U936" s="530" t="s">
        <v>61</v>
      </c>
    </row>
    <row r="937" spans="1:21" ht="12.75" customHeight="1" x14ac:dyDescent="0.3">
      <c r="A937" s="530" t="str">
        <f t="shared" si="32"/>
        <v>North Wales.2013.Vehicle Days.Staying Visitor</v>
      </c>
      <c r="B937" s="530" t="s">
        <v>220</v>
      </c>
      <c r="C937" s="530" t="str">
        <f t="shared" si="33"/>
        <v>2013.Vehicle Days.Staying Visitor</v>
      </c>
      <c r="D937" s="530" t="s">
        <v>230</v>
      </c>
      <c r="E937" s="530" t="s">
        <v>21</v>
      </c>
      <c r="F937" s="530" t="s">
        <v>140</v>
      </c>
      <c r="G937" s="530" t="s">
        <v>140</v>
      </c>
      <c r="H937" s="530">
        <f>SUM(SUMIFS(H:H,$D:$D,$D937,$E:$E,$E937,$F:$F,{"Serviced Accommodation","Non-Serviced Accommodation","SFR"}))</f>
        <v>294.10490002780676</v>
      </c>
      <c r="I937" s="530">
        <f>SUM(SUMIFS(I:I,$D:$D,$D937,$E:$E,$E937,$F:$F,{"Serviced Accommodation","Non-Serviced Accommodation","SFR"}))</f>
        <v>347.86109873915376</v>
      </c>
      <c r="J937" s="530">
        <f>SUM(SUMIFS(J:J,$D:$D,$D937,$E:$E,$E937,$F:$F,{"Serviced Accommodation","Non-Serviced Accommodation","SFR"}))</f>
        <v>840.82963635120473</v>
      </c>
      <c r="K937" s="530">
        <f>SUM(SUMIFS(K:K,$D:$D,$D937,$E:$E,$E937,$F:$F,{"Serviced Accommodation","Non-Serviced Accommodation","SFR"}))</f>
        <v>999.2531877531934</v>
      </c>
      <c r="L937" s="530">
        <f>SUM(SUMIFS(L:L,$D:$D,$D937,$E:$E,$E937,$F:$F,{"Serviced Accommodation","Non-Serviced Accommodation","SFR"}))</f>
        <v>1218.0724365709355</v>
      </c>
      <c r="M937" s="530">
        <f>SUM(SUMIFS(M:M,$D:$D,$D937,$E:$E,$E937,$F:$F,{"Serviced Accommodation","Non-Serviced Accommodation","SFR"}))</f>
        <v>1341.235609806939</v>
      </c>
      <c r="N937" s="530">
        <f>SUM(SUMIFS(N:N,$D:$D,$D937,$E:$E,$E937,$F:$F,{"Serviced Accommodation","Non-Serviced Accommodation","SFR"}))</f>
        <v>1631.1943077800636</v>
      </c>
      <c r="O937" s="530">
        <f>SUM(SUMIFS(O:O,$D:$D,$D937,$E:$E,$E937,$F:$F,{"Serviced Accommodation","Non-Serviced Accommodation","SFR"}))</f>
        <v>1812.7004370428692</v>
      </c>
      <c r="P937" s="530">
        <f>SUM(SUMIFS(P:P,$D:$D,$D937,$E:$E,$E937,$F:$F,{"Serviced Accommodation","Non-Serviced Accommodation","SFR"}))</f>
        <v>1203.2824879783584</v>
      </c>
      <c r="Q937" s="530">
        <f>SUM(SUMIFS(Q:Q,$D:$D,$D937,$E:$E,$E937,$F:$F,{"Serviced Accommodation","Non-Serviced Accommodation","SFR"}))</f>
        <v>934.17353415171044</v>
      </c>
      <c r="R937" s="530">
        <f>SUM(SUMIFS(R:R,$D:$D,$D937,$E:$E,$E937,$F:$F,{"Serviced Accommodation","Non-Serviced Accommodation","SFR"}))</f>
        <v>454.67455326164583</v>
      </c>
      <c r="S937" s="530">
        <f>SUM(SUMIFS(S:S,$D:$D,$D937,$E:$E,$E937,$F:$F,{"Serviced Accommodation","Non-Serviced Accommodation","SFR"}))</f>
        <v>356.82597713487712</v>
      </c>
      <c r="T937" s="530">
        <f>SUM(SUMIFS(T:T,$D:$D,$D937,$E:$E,$E937,$F:$F,{"Serviced Accommodation","Non-Serviced Accommodation","SFR"}))</f>
        <v>11434.208166598757</v>
      </c>
      <c r="U937" s="530" t="s">
        <v>61</v>
      </c>
    </row>
    <row r="938" spans="1:21" ht="12.75" customHeight="1" x14ac:dyDescent="0.3">
      <c r="A938" s="530" t="str">
        <f t="shared" si="32"/>
        <v>North Wales.2013.Vehicle Numbers.Staying Visitor</v>
      </c>
      <c r="B938" s="530" t="s">
        <v>220</v>
      </c>
      <c r="C938" s="530" t="str">
        <f t="shared" si="33"/>
        <v>2013.Vehicle Numbers.Staying Visitor</v>
      </c>
      <c r="D938" s="530" t="s">
        <v>230</v>
      </c>
      <c r="E938" s="530" t="s">
        <v>22</v>
      </c>
      <c r="F938" s="530" t="s">
        <v>140</v>
      </c>
      <c r="G938" s="530" t="s">
        <v>140</v>
      </c>
      <c r="H938" s="530">
        <f>SUM(SUMIFS(H:H,$D:$D,$D938,$E:$E,$E938,$F:$F,{"Serviced Accommodation","Non-Serviced Accommodation","SFR"}))</f>
        <v>114.28661077585238</v>
      </c>
      <c r="I938" s="530">
        <f>SUM(SUMIFS(I:I,$D:$D,$D938,$E:$E,$E938,$F:$F,{"Serviced Accommodation","Non-Serviced Accommodation","SFR"}))</f>
        <v>141.08782175571289</v>
      </c>
      <c r="J938" s="530">
        <f>SUM(SUMIFS(J:J,$D:$D,$D938,$E:$E,$E938,$F:$F,{"Serviced Accommodation","Non-Serviced Accommodation","SFR"}))</f>
        <v>215.75241445712737</v>
      </c>
      <c r="K938" s="530">
        <f>SUM(SUMIFS(K:K,$D:$D,$D938,$E:$E,$E938,$F:$F,{"Serviced Accommodation","Non-Serviced Accommodation","SFR"}))</f>
        <v>215.66489939113524</v>
      </c>
      <c r="L938" s="530">
        <f>SUM(SUMIFS(L:L,$D:$D,$D938,$E:$E,$E938,$F:$F,{"Serviced Accommodation","Non-Serviced Accommodation","SFR"}))</f>
        <v>248.55779982454573</v>
      </c>
      <c r="M938" s="530">
        <f>SUM(SUMIFS(M:M,$D:$D,$D938,$E:$E,$E938,$F:$F,{"Serviced Accommodation","Non-Serviced Accommodation","SFR"}))</f>
        <v>261.05368470096778</v>
      </c>
      <c r="N938" s="530">
        <f>SUM(SUMIFS(N:N,$D:$D,$D938,$E:$E,$E938,$F:$F,{"Serviced Accommodation","Non-Serviced Accommodation","SFR"}))</f>
        <v>307.93118513498951</v>
      </c>
      <c r="O938" s="530">
        <f>SUM(SUMIFS(O:O,$D:$D,$D938,$E:$E,$E938,$F:$F,{"Serviced Accommodation","Non-Serviced Accommodation","SFR"}))</f>
        <v>326.79701710743484</v>
      </c>
      <c r="P938" s="530">
        <f>SUM(SUMIFS(P:P,$D:$D,$D938,$E:$E,$E938,$F:$F,{"Serviced Accommodation","Non-Serviced Accommodation","SFR"}))</f>
        <v>229.62440530602365</v>
      </c>
      <c r="Q938" s="530">
        <f>SUM(SUMIFS(Q:Q,$D:$D,$D938,$E:$E,$E938,$F:$F,{"Serviced Accommodation","Non-Serviced Accommodation","SFR"}))</f>
        <v>197.51797739934949</v>
      </c>
      <c r="R938" s="530">
        <f>SUM(SUMIFS(R:R,$D:$D,$D938,$E:$E,$E938,$F:$F,{"Serviced Accommodation","Non-Serviced Accommodation","SFR"}))</f>
        <v>145.06463404940862</v>
      </c>
      <c r="S938" s="530">
        <f>SUM(SUMIFS(S:S,$D:$D,$D938,$E:$E,$E938,$F:$F,{"Serviced Accommodation","Non-Serviced Accommodation","SFR"}))</f>
        <v>112.21918385525851</v>
      </c>
      <c r="T938" s="530">
        <f>SUM(SUMIFS(T:T,$D:$D,$D938,$E:$E,$E938,$F:$F,{"Serviced Accommodation","Non-Serviced Accommodation","SFR"}))</f>
        <v>2515.5576337578063</v>
      </c>
      <c r="U938" s="530" t="s">
        <v>61</v>
      </c>
    </row>
    <row r="939" spans="1:21" ht="12.75" customHeight="1" x14ac:dyDescent="0.3">
      <c r="A939" s="530" t="str">
        <f t="shared" ref="A939:A962" si="34">B939&amp;"."&amp;D939&amp;"."&amp;E939&amp;"."&amp;F939</f>
        <v>North Wales.2014.Economic Impact.Staying Visitor</v>
      </c>
      <c r="B939" s="530" t="s">
        <v>220</v>
      </c>
      <c r="C939" s="530" t="str">
        <f t="shared" ref="C939:C962" si="35">D939&amp;"."&amp;E939&amp;"."&amp;F939</f>
        <v>2014.Economic Impact.Staying Visitor</v>
      </c>
      <c r="D939" s="530" t="s">
        <v>231</v>
      </c>
      <c r="E939" s="530" t="s">
        <v>17</v>
      </c>
      <c r="F939" s="530" t="s">
        <v>140</v>
      </c>
      <c r="G939" s="530" t="s">
        <v>140</v>
      </c>
      <c r="H939" s="530">
        <f>SUM(SUMIFS(H:H,$D:$D,$D939,$E:$E,$E939,$F:$F,{"Serviced Accommodation","Non-Serviced Accommodation","SFR"}))</f>
        <v>52742.280117942326</v>
      </c>
      <c r="I939" s="530">
        <f>SUM(SUMIFS(I:I,$D:$D,$D939,$E:$E,$E939,$F:$F,{"Serviced Accommodation","Non-Serviced Accommodation","SFR"}))</f>
        <v>65901.709941815599</v>
      </c>
      <c r="J939" s="530">
        <f>SUM(SUMIFS(J:J,$D:$D,$D939,$E:$E,$E939,$F:$F,{"Serviced Accommodation","Non-Serviced Accommodation","SFR"}))</f>
        <v>146498.58205681155</v>
      </c>
      <c r="K939" s="530">
        <f>SUM(SUMIFS(K:K,$D:$D,$D939,$E:$E,$E939,$F:$F,{"Serviced Accommodation","Non-Serviced Accommodation","SFR"}))</f>
        <v>173787.74668974031</v>
      </c>
      <c r="L939" s="530">
        <f>SUM(SUMIFS(L:L,$D:$D,$D939,$E:$E,$E939,$F:$F,{"Serviced Accommodation","Non-Serviced Accommodation","SFR"}))</f>
        <v>207368.35979106926</v>
      </c>
      <c r="M939" s="530">
        <f>SUM(SUMIFS(M:M,$D:$D,$D939,$E:$E,$E939,$F:$F,{"Serviced Accommodation","Non-Serviced Accommodation","SFR"}))</f>
        <v>206166.0602734373</v>
      </c>
      <c r="N939" s="530">
        <f>SUM(SUMIFS(N:N,$D:$D,$D939,$E:$E,$E939,$F:$F,{"Serviced Accommodation","Non-Serviced Accommodation","SFR"}))</f>
        <v>299889.67335744313</v>
      </c>
      <c r="O939" s="530">
        <f>SUM(SUMIFS(O:O,$D:$D,$D939,$E:$E,$E939,$F:$F,{"Serviced Accommodation","Non-Serviced Accommodation","SFR"}))</f>
        <v>342360.91431477835</v>
      </c>
      <c r="P939" s="530">
        <f>SUM(SUMIFS(P:P,$D:$D,$D939,$E:$E,$E939,$F:$F,{"Serviced Accommodation","Non-Serviced Accommodation","SFR"}))</f>
        <v>235201.54189356693</v>
      </c>
      <c r="Q939" s="530">
        <f>SUM(SUMIFS(Q:Q,$D:$D,$D939,$E:$E,$E939,$F:$F,{"Serviced Accommodation","Non-Serviced Accommodation","SFR"}))</f>
        <v>146913.71161318439</v>
      </c>
      <c r="R939" s="530">
        <f>SUM(SUMIFS(R:R,$D:$D,$D939,$E:$E,$E939,$F:$F,{"Serviced Accommodation","Non-Serviced Accommodation","SFR"}))</f>
        <v>77876.541128710334</v>
      </c>
      <c r="S939" s="530">
        <f>SUM(SUMIFS(S:S,$D:$D,$D939,$E:$E,$E939,$F:$F,{"Serviced Accommodation","Non-Serviced Accommodation","SFR"}))</f>
        <v>70171.967318421477</v>
      </c>
      <c r="T939" s="530">
        <f>SUM(SUMIFS(T:T,$D:$D,$D939,$E:$E,$E939,$F:$F,{"Serviced Accommodation","Non-Serviced Accommodation","SFR"}))</f>
        <v>2024879.0884969209</v>
      </c>
      <c r="U939" s="530" t="s">
        <v>57</v>
      </c>
    </row>
    <row r="940" spans="1:21" ht="12.75" customHeight="1" x14ac:dyDescent="0.3">
      <c r="A940" s="530" t="str">
        <f t="shared" si="34"/>
        <v>North Wales.2014.Employment.Staying Visitor</v>
      </c>
      <c r="B940" s="530" t="s">
        <v>220</v>
      </c>
      <c r="C940" s="530" t="str">
        <f t="shared" si="35"/>
        <v>2014.Employment.Staying Visitor</v>
      </c>
      <c r="D940" s="530" t="s">
        <v>231</v>
      </c>
      <c r="E940" s="530" t="s">
        <v>20</v>
      </c>
      <c r="F940" s="530" t="s">
        <v>140</v>
      </c>
      <c r="G940" s="530" t="s">
        <v>140</v>
      </c>
      <c r="H940" s="530">
        <f>SUM(SUMIFS(H:H,$D:$D,$D940,$E:$E,$E940,$F:$F,{"Serviced Accommodation","Non-Serviced Accommodation","SFR"}))</f>
        <v>13733.541477349485</v>
      </c>
      <c r="I940" s="530">
        <f>SUM(SUMIFS(I:I,$D:$D,$D940,$E:$E,$E940,$F:$F,{"Serviced Accommodation","Non-Serviced Accommodation","SFR"}))</f>
        <v>14645.102012409116</v>
      </c>
      <c r="J940" s="530">
        <f>SUM(SUMIFS(J:J,$D:$D,$D940,$E:$E,$E940,$F:$F,{"Serviced Accommodation","Non-Serviced Accommodation","SFR"}))</f>
        <v>24200.266174825239</v>
      </c>
      <c r="K940" s="530">
        <f>SUM(SUMIFS(K:K,$D:$D,$D940,$E:$E,$E940,$F:$F,{"Serviced Accommodation","Non-Serviced Accommodation","SFR"}))</f>
        <v>27353.328563513471</v>
      </c>
      <c r="L940" s="530">
        <f>SUM(SUMIFS(L:L,$D:$D,$D940,$E:$E,$E940,$F:$F,{"Serviced Accommodation","Non-Serviced Accommodation","SFR"}))</f>
        <v>30652.265393988291</v>
      </c>
      <c r="M940" s="530">
        <f>SUM(SUMIFS(M:M,$D:$D,$D940,$E:$E,$E940,$F:$F,{"Serviced Accommodation","Non-Serviced Accommodation","SFR"}))</f>
        <v>30399.873871881708</v>
      </c>
      <c r="N940" s="530">
        <f>SUM(SUMIFS(N:N,$D:$D,$D940,$E:$E,$E940,$F:$F,{"Serviced Accommodation","Non-Serviced Accommodation","SFR"}))</f>
        <v>36601.815934846301</v>
      </c>
      <c r="O940" s="530">
        <f>SUM(SUMIFS(O:O,$D:$D,$D940,$E:$E,$E940,$F:$F,{"Serviced Accommodation","Non-Serviced Accommodation","SFR"}))</f>
        <v>42404.243142717307</v>
      </c>
      <c r="P940" s="530">
        <f>SUM(SUMIFS(P:P,$D:$D,$D940,$E:$E,$E940,$F:$F,{"Serviced Accommodation","Non-Serviced Accommodation","SFR"}))</f>
        <v>29764.635835088175</v>
      </c>
      <c r="Q940" s="530">
        <f>SUM(SUMIFS(Q:Q,$D:$D,$D940,$E:$E,$E940,$F:$F,{"Serviced Accommodation","Non-Serviced Accommodation","SFR"}))</f>
        <v>24491.080753266917</v>
      </c>
      <c r="R940" s="530">
        <f>SUM(SUMIFS(R:R,$D:$D,$D940,$E:$E,$E940,$F:$F,{"Serviced Accommodation","Non-Serviced Accommodation","SFR"}))</f>
        <v>16516.748438233837</v>
      </c>
      <c r="S940" s="530">
        <f>SUM(SUMIFS(S:S,$D:$D,$D940,$E:$E,$E940,$F:$F,{"Serviced Accommodation","Non-Serviced Accommodation","SFR"}))</f>
        <v>15478.121244875076</v>
      </c>
      <c r="T940" s="530">
        <f>SUM(SUMIFS(T:T,$D:$D,$D940,$E:$E,$E940,$F:$F,{"Serviced Accommodation","Non-Serviced Accommodation","SFR"}))</f>
        <v>25520.085236916242</v>
      </c>
      <c r="U940" s="530" t="s">
        <v>59</v>
      </c>
    </row>
    <row r="941" spans="1:21" ht="12.75" customHeight="1" x14ac:dyDescent="0.3">
      <c r="A941" s="530" t="str">
        <f t="shared" si="34"/>
        <v>North Wales.2014.Visitor Days.Staying Visitor</v>
      </c>
      <c r="B941" s="530" t="s">
        <v>220</v>
      </c>
      <c r="C941" s="530" t="str">
        <f t="shared" si="35"/>
        <v>2014.Visitor Days.Staying Visitor</v>
      </c>
      <c r="D941" s="530" t="s">
        <v>231</v>
      </c>
      <c r="E941" s="530" t="s">
        <v>171</v>
      </c>
      <c r="F941" s="530" t="s">
        <v>140</v>
      </c>
      <c r="G941" s="530" t="s">
        <v>140</v>
      </c>
      <c r="H941" s="530">
        <f>SUM(SUMIFS(H:H,$D:$D,$D941,$E:$E,$E941,$F:$F,{"Serviced Accommodation","Non-Serviced Accommodation","SFR"}))</f>
        <v>1102.2032194673779</v>
      </c>
      <c r="I941" s="530">
        <f>SUM(SUMIFS(I:I,$D:$D,$D941,$E:$E,$E941,$F:$F,{"Serviced Accommodation","Non-Serviced Accommodation","SFR"}))</f>
        <v>1235.3999719772917</v>
      </c>
      <c r="J941" s="530">
        <f>SUM(SUMIFS(J:J,$D:$D,$D941,$E:$E,$E941,$F:$F,{"Serviced Accommodation","Non-Serviced Accommodation","SFR"}))</f>
        <v>3305.9887413967344</v>
      </c>
      <c r="K941" s="530">
        <f>SUM(SUMIFS(K:K,$D:$D,$D941,$E:$E,$E941,$F:$F,{"Serviced Accommodation","Non-Serviced Accommodation","SFR"}))</f>
        <v>3985.03784874241</v>
      </c>
      <c r="L941" s="530">
        <f>SUM(SUMIFS(L:L,$D:$D,$D941,$E:$E,$E941,$F:$F,{"Serviced Accommodation","Non-Serviced Accommodation","SFR"}))</f>
        <v>4787.4178692114428</v>
      </c>
      <c r="M941" s="530">
        <f>SUM(SUMIFS(M:M,$D:$D,$D941,$E:$E,$E941,$F:$F,{"Serviced Accommodation","Non-Serviced Accommodation","SFR"}))</f>
        <v>4762.1857748397297</v>
      </c>
      <c r="N941" s="530">
        <f>SUM(SUMIFS(N:N,$D:$D,$D941,$E:$E,$E941,$F:$F,{"Serviced Accommodation","Non-Serviced Accommodation","SFR"}))</f>
        <v>6281.0711560155487</v>
      </c>
      <c r="O941" s="530">
        <f>SUM(SUMIFS(O:O,$D:$D,$D941,$E:$E,$E941,$F:$F,{"Serviced Accommodation","Non-Serviced Accommodation","SFR"}))</f>
        <v>7062.6525184582997</v>
      </c>
      <c r="P941" s="530">
        <f>SUM(SUMIFS(P:P,$D:$D,$D941,$E:$E,$E941,$F:$F,{"Serviced Accommodation","Non-Serviced Accommodation","SFR"}))</f>
        <v>4621.9698448583868</v>
      </c>
      <c r="Q941" s="530">
        <f>SUM(SUMIFS(Q:Q,$D:$D,$D941,$E:$E,$E941,$F:$F,{"Serviced Accommodation","Non-Serviced Accommodation","SFR"}))</f>
        <v>3403.2745682345708</v>
      </c>
      <c r="R941" s="530">
        <f>SUM(SUMIFS(R:R,$D:$D,$D941,$E:$E,$E941,$F:$F,{"Serviced Accommodation","Non-Serviced Accommodation","SFR"}))</f>
        <v>1653.2406373209772</v>
      </c>
      <c r="S941" s="530">
        <f>SUM(SUMIFS(S:S,$D:$D,$D941,$E:$E,$E941,$F:$F,{"Serviced Accommodation","Non-Serviced Accommodation","SFR"}))</f>
        <v>1433.5492433718694</v>
      </c>
      <c r="T941" s="530">
        <f>SUM(SUMIFS(T:T,$D:$D,$D941,$E:$E,$E941,$F:$F,{"Serviced Accommodation","Non-Serviced Accommodation","SFR"}))</f>
        <v>43633.991393894634</v>
      </c>
      <c r="U941" s="530" t="s">
        <v>61</v>
      </c>
    </row>
    <row r="942" spans="1:21" ht="12.75" customHeight="1" x14ac:dyDescent="0.3">
      <c r="A942" s="530" t="str">
        <f t="shared" si="34"/>
        <v>North Wales.2014.Visitor Numbers.Staying Visitor</v>
      </c>
      <c r="B942" s="530" t="s">
        <v>220</v>
      </c>
      <c r="C942" s="530" t="str">
        <f t="shared" si="35"/>
        <v>2014.Visitor Numbers.Staying Visitor</v>
      </c>
      <c r="D942" s="530" t="s">
        <v>231</v>
      </c>
      <c r="E942" s="530" t="s">
        <v>172</v>
      </c>
      <c r="F942" s="530" t="s">
        <v>140</v>
      </c>
      <c r="G942" s="530" t="s">
        <v>140</v>
      </c>
      <c r="H942" s="530">
        <f>SUM(SUMIFS(H:H,$D:$D,$D942,$E:$E,$E942,$F:$F,{"Serviced Accommodation","Non-Serviced Accommodation","SFR"}))</f>
        <v>427.80944544529655</v>
      </c>
      <c r="I942" s="530">
        <f>SUM(SUMIFS(I:I,$D:$D,$D942,$E:$E,$E942,$F:$F,{"Serviced Accommodation","Non-Serviced Accommodation","SFR"}))</f>
        <v>449.64183974216564</v>
      </c>
      <c r="J942" s="530">
        <f>SUM(SUMIFS(J:J,$D:$D,$D942,$E:$E,$E942,$F:$F,{"Serviced Accommodation","Non-Serviced Accommodation","SFR"}))</f>
        <v>802.56233081266032</v>
      </c>
      <c r="K942" s="530">
        <f>SUM(SUMIFS(K:K,$D:$D,$D942,$E:$E,$E942,$F:$F,{"Serviced Accommodation","Non-Serviced Accommodation","SFR"}))</f>
        <v>842.74490921597885</v>
      </c>
      <c r="L942" s="530">
        <f>SUM(SUMIFS(L:L,$D:$D,$D942,$E:$E,$E942,$F:$F,{"Serviced Accommodation","Non-Serviced Accommodation","SFR"}))</f>
        <v>938.98738402542369</v>
      </c>
      <c r="M942" s="530">
        <f>SUM(SUMIFS(M:M,$D:$D,$D942,$E:$E,$E942,$F:$F,{"Serviced Accommodation","Non-Serviced Accommodation","SFR"}))</f>
        <v>919.94931071119129</v>
      </c>
      <c r="N942" s="530">
        <f>SUM(SUMIFS(N:N,$D:$D,$D942,$E:$E,$E942,$F:$F,{"Serviced Accommodation","Non-Serviced Accommodation","SFR"}))</f>
        <v>1165.188451413306</v>
      </c>
      <c r="O942" s="530">
        <f>SUM(SUMIFS(O:O,$D:$D,$D942,$E:$E,$E942,$F:$F,{"Serviced Accommodation","Non-Serviced Accommodation","SFR"}))</f>
        <v>1244.1226256218772</v>
      </c>
      <c r="P942" s="530">
        <f>SUM(SUMIFS(P:P,$D:$D,$D942,$E:$E,$E942,$F:$F,{"Serviced Accommodation","Non-Serviced Accommodation","SFR"}))</f>
        <v>877.34286290046055</v>
      </c>
      <c r="Q942" s="530">
        <f>SUM(SUMIFS(Q:Q,$D:$D,$D942,$E:$E,$E942,$F:$F,{"Serviced Accommodation","Non-Serviced Accommodation","SFR"}))</f>
        <v>693.74421447230895</v>
      </c>
      <c r="R942" s="530">
        <f>SUM(SUMIFS(R:R,$D:$D,$D942,$E:$E,$E942,$F:$F,{"Serviced Accommodation","Non-Serviced Accommodation","SFR"}))</f>
        <v>497.79035720105628</v>
      </c>
      <c r="S942" s="530">
        <f>SUM(SUMIFS(S:S,$D:$D,$D942,$E:$E,$E942,$F:$F,{"Serviced Accommodation","Non-Serviced Accommodation","SFR"}))</f>
        <v>407.55805793979641</v>
      </c>
      <c r="T942" s="530">
        <f>SUM(SUMIFS(T:T,$D:$D,$D942,$E:$E,$E942,$F:$F,{"Serviced Accommodation","Non-Serviced Accommodation","SFR"}))</f>
        <v>9267.4417895015213</v>
      </c>
      <c r="U942" s="530" t="s">
        <v>61</v>
      </c>
    </row>
    <row r="943" spans="1:21" ht="12.75" customHeight="1" x14ac:dyDescent="0.3">
      <c r="A943" s="530" t="str">
        <f t="shared" si="34"/>
        <v>North Wales.2014.Vehicle Days.Staying Visitor</v>
      </c>
      <c r="B943" s="530" t="s">
        <v>220</v>
      </c>
      <c r="C943" s="530" t="str">
        <f t="shared" si="35"/>
        <v>2014.Vehicle Days.Staying Visitor</v>
      </c>
      <c r="D943" s="530" t="s">
        <v>231</v>
      </c>
      <c r="E943" s="530" t="s">
        <v>21</v>
      </c>
      <c r="F943" s="530" t="s">
        <v>140</v>
      </c>
      <c r="G943" s="530" t="s">
        <v>140</v>
      </c>
      <c r="H943" s="530">
        <f>SUM(SUMIFS(H:H,$D:$D,$D943,$E:$E,$E943,$F:$F,{"Serviced Accommodation","Non-Serviced Accommodation","SFR"}))</f>
        <v>299.85953476871737</v>
      </c>
      <c r="I943" s="530">
        <f>SUM(SUMIFS(I:I,$D:$D,$D943,$E:$E,$E943,$F:$F,{"Serviced Accommodation","Non-Serviced Accommodation","SFR"}))</f>
        <v>376.94271133507743</v>
      </c>
      <c r="J943" s="530">
        <f>SUM(SUMIFS(J:J,$D:$D,$D943,$E:$E,$E943,$F:$F,{"Serviced Accommodation","Non-Serviced Accommodation","SFR"}))</f>
        <v>914.97950740655438</v>
      </c>
      <c r="K943" s="530">
        <f>SUM(SUMIFS(K:K,$D:$D,$D943,$E:$E,$E943,$F:$F,{"Serviced Accommodation","Non-Serviced Accommodation","SFR"}))</f>
        <v>1040.2598455833831</v>
      </c>
      <c r="L943" s="530">
        <f>SUM(SUMIFS(L:L,$D:$D,$D943,$E:$E,$E943,$F:$F,{"Serviced Accommodation","Non-Serviced Accommodation","SFR"}))</f>
        <v>1286.4335900193382</v>
      </c>
      <c r="M943" s="530">
        <f>SUM(SUMIFS(M:M,$D:$D,$D943,$E:$E,$E943,$F:$F,{"Serviced Accommodation","Non-Serviced Accommodation","SFR"}))</f>
        <v>1267.6425871005579</v>
      </c>
      <c r="N943" s="530">
        <f>SUM(SUMIFS(N:N,$D:$D,$D943,$E:$E,$E943,$F:$F,{"Serviced Accommodation","Non-Serviced Accommodation","SFR"}))</f>
        <v>1623.0831433032579</v>
      </c>
      <c r="O943" s="530">
        <f>SUM(SUMIFS(O:O,$D:$D,$D943,$E:$E,$E943,$F:$F,{"Serviced Accommodation","Non-Serviced Accommodation","SFR"}))</f>
        <v>1819.7443020483549</v>
      </c>
      <c r="P943" s="530">
        <f>SUM(SUMIFS(P:P,$D:$D,$D943,$E:$E,$E943,$F:$F,{"Serviced Accommodation","Non-Serviced Accommodation","SFR"}))</f>
        <v>1214.5592482971695</v>
      </c>
      <c r="Q943" s="530">
        <f>SUM(SUMIFS(Q:Q,$D:$D,$D943,$E:$E,$E943,$F:$F,{"Serviced Accommodation","Non-Serviced Accommodation","SFR"}))</f>
        <v>891.34529729398321</v>
      </c>
      <c r="R943" s="530">
        <f>SUM(SUMIFS(R:R,$D:$D,$D943,$E:$E,$E943,$F:$F,{"Serviced Accommodation","Non-Serviced Accommodation","SFR"}))</f>
        <v>444.23222907176324</v>
      </c>
      <c r="S943" s="530">
        <f>SUM(SUMIFS(S:S,$D:$D,$D943,$E:$E,$E943,$F:$F,{"Serviced Accommodation","Non-Serviced Accommodation","SFR"}))</f>
        <v>368.15585480651077</v>
      </c>
      <c r="T943" s="530">
        <f>SUM(SUMIFS(T:T,$D:$D,$D943,$E:$E,$E943,$F:$F,{"Serviced Accommodation","Non-Serviced Accommodation","SFR"}))</f>
        <v>11547.237851034668</v>
      </c>
      <c r="U943" s="530" t="s">
        <v>61</v>
      </c>
    </row>
    <row r="944" spans="1:21" ht="12.75" customHeight="1" x14ac:dyDescent="0.3">
      <c r="A944" s="530" t="str">
        <f t="shared" si="34"/>
        <v>North Wales.2014.Vehicle Numbers.Staying Visitor</v>
      </c>
      <c r="B944" s="530" t="s">
        <v>220</v>
      </c>
      <c r="C944" s="530" t="str">
        <f t="shared" si="35"/>
        <v>2014.Vehicle Numbers.Staying Visitor</v>
      </c>
      <c r="D944" s="530" t="s">
        <v>231</v>
      </c>
      <c r="E944" s="530" t="s">
        <v>22</v>
      </c>
      <c r="F944" s="530" t="s">
        <v>140</v>
      </c>
      <c r="G944" s="530" t="s">
        <v>140</v>
      </c>
      <c r="H944" s="530">
        <f>SUM(SUMIFS(H:H,$D:$D,$D944,$E:$E,$E944,$F:$F,{"Serviced Accommodation","Non-Serviced Accommodation","SFR"}))</f>
        <v>116.90014225542429</v>
      </c>
      <c r="I944" s="530">
        <f>SUM(SUMIFS(I:I,$D:$D,$D944,$E:$E,$E944,$F:$F,{"Serviced Accommodation","Non-Serviced Accommodation","SFR"}))</f>
        <v>141.73944495059163</v>
      </c>
      <c r="J944" s="530">
        <f>SUM(SUMIFS(J:J,$D:$D,$D944,$E:$E,$E944,$F:$F,{"Serviced Accommodation","Non-Serviced Accommodation","SFR"}))</f>
        <v>229.79580615532365</v>
      </c>
      <c r="K944" s="530">
        <f>SUM(SUMIFS(K:K,$D:$D,$D944,$E:$E,$E944,$F:$F,{"Serviced Accommodation","Non-Serviced Accommodation","SFR"}))</f>
        <v>223.37543339458088</v>
      </c>
      <c r="L944" s="530">
        <f>SUM(SUMIFS(L:L,$D:$D,$D944,$E:$E,$E944,$F:$F,{"Serviced Accommodation","Non-Serviced Accommodation","SFR"}))</f>
        <v>256.71694538577276</v>
      </c>
      <c r="M944" s="530">
        <f>SUM(SUMIFS(M:M,$D:$D,$D944,$E:$E,$E944,$F:$F,{"Serviced Accommodation","Non-Serviced Accommodation","SFR"}))</f>
        <v>249.52930445797858</v>
      </c>
      <c r="N944" s="530">
        <f>SUM(SUMIFS(N:N,$D:$D,$D944,$E:$E,$E944,$F:$F,{"Serviced Accommodation","Non-Serviced Accommodation","SFR"}))</f>
        <v>305.1779408339417</v>
      </c>
      <c r="O944" s="530">
        <f>SUM(SUMIFS(O:O,$D:$D,$D944,$E:$E,$E944,$F:$F,{"Serviced Accommodation","Non-Serviced Accommodation","SFR"}))</f>
        <v>325.13861045852627</v>
      </c>
      <c r="P944" s="530">
        <f>SUM(SUMIFS(P:P,$D:$D,$D944,$E:$E,$E944,$F:$F,{"Serviced Accommodation","Non-Serviced Accommodation","SFR"}))</f>
        <v>232.47355416257096</v>
      </c>
      <c r="Q944" s="530">
        <f>SUM(SUMIFS(Q:Q,$D:$D,$D944,$E:$E,$E944,$F:$F,{"Serviced Accommodation","Non-Serviced Accommodation","SFR"}))</f>
        <v>191.17058835499012</v>
      </c>
      <c r="R944" s="530">
        <f>SUM(SUMIFS(R:R,$D:$D,$D944,$E:$E,$E944,$F:$F,{"Serviced Accommodation","Non-Serviced Accommodation","SFR"}))</f>
        <v>138.34583099965096</v>
      </c>
      <c r="S944" s="530">
        <f>SUM(SUMIFS(S:S,$D:$D,$D944,$E:$E,$E944,$F:$F,{"Serviced Accommodation","Non-Serviced Accommodation","SFR"}))</f>
        <v>108.6151132342205</v>
      </c>
      <c r="T944" s="530">
        <f>SUM(SUMIFS(T:T,$D:$D,$D944,$E:$E,$E944,$F:$F,{"Serviced Accommodation","Non-Serviced Accommodation","SFR"}))</f>
        <v>2518.9787146435719</v>
      </c>
      <c r="U944" s="530" t="s">
        <v>61</v>
      </c>
    </row>
    <row r="945" spans="1:21" ht="12.75" customHeight="1" x14ac:dyDescent="0.3">
      <c r="A945" s="530" t="str">
        <f t="shared" si="34"/>
        <v>North Wales.2015.Economic Impact.Staying Visitor</v>
      </c>
      <c r="B945" s="530" t="s">
        <v>220</v>
      </c>
      <c r="C945" s="530" t="str">
        <f t="shared" si="35"/>
        <v>2015.Economic Impact.Staying Visitor</v>
      </c>
      <c r="D945" s="530" t="s">
        <v>232</v>
      </c>
      <c r="E945" s="530" t="s">
        <v>17</v>
      </c>
      <c r="F945" s="530" t="s">
        <v>140</v>
      </c>
      <c r="G945" s="530" t="s">
        <v>140</v>
      </c>
      <c r="H945" s="530">
        <f>SUM(SUMIFS(H:H,$D:$D,$D945,$E:$E,$E945,$F:$F,{"Serviced Accommodation","Non-Serviced Accommodation","SFR"}))</f>
        <v>53965.403527772418</v>
      </c>
      <c r="I945" s="530">
        <f>SUM(SUMIFS(I:I,$D:$D,$D945,$E:$E,$E945,$F:$F,{"Serviced Accommodation","Non-Serviced Accommodation","SFR"}))</f>
        <v>65615.821327233294</v>
      </c>
      <c r="J945" s="530">
        <f>SUM(SUMIFS(J:J,$D:$D,$D945,$E:$E,$E945,$F:$F,{"Serviced Accommodation","Non-Serviced Accommodation","SFR"}))</f>
        <v>147908.50942013509</v>
      </c>
      <c r="K945" s="530">
        <f>SUM(SUMIFS(K:K,$D:$D,$D945,$E:$E,$E945,$F:$F,{"Serviced Accommodation","Non-Serviced Accommodation","SFR"}))</f>
        <v>173349.57332600784</v>
      </c>
      <c r="L945" s="530">
        <f>SUM(SUMIFS(L:L,$D:$D,$D945,$E:$E,$E945,$F:$F,{"Serviced Accommodation","Non-Serviced Accommodation","SFR"}))</f>
        <v>211192.23053040908</v>
      </c>
      <c r="M945" s="530">
        <f>SUM(SUMIFS(M:M,$D:$D,$D945,$E:$E,$E945,$F:$F,{"Serviced Accommodation","Non-Serviced Accommodation","SFR"}))</f>
        <v>212062.82182813031</v>
      </c>
      <c r="N945" s="530">
        <f>SUM(SUMIFS(N:N,$D:$D,$D945,$E:$E,$E945,$F:$F,{"Serviced Accommodation","Non-Serviced Accommodation","SFR"}))</f>
        <v>326934.08226032229</v>
      </c>
      <c r="O945" s="530">
        <f>SUM(SUMIFS(O:O,$D:$D,$D945,$E:$E,$E945,$F:$F,{"Serviced Accommodation","Non-Serviced Accommodation","SFR"}))</f>
        <v>364840.15498463076</v>
      </c>
      <c r="P945" s="530">
        <f>SUM(SUMIFS(P:P,$D:$D,$D945,$E:$E,$E945,$F:$F,{"Serviced Accommodation","Non-Serviced Accommodation","SFR"}))</f>
        <v>220762.94233946208</v>
      </c>
      <c r="Q945" s="530">
        <f>SUM(SUMIFS(Q:Q,$D:$D,$D945,$E:$E,$E945,$F:$F,{"Serviced Accommodation","Non-Serviced Accommodation","SFR"}))</f>
        <v>158144.37468226673</v>
      </c>
      <c r="R945" s="530">
        <f>SUM(SUMIFS(R:R,$D:$D,$D945,$E:$E,$E945,$F:$F,{"Serviced Accommodation","Non-Serviced Accommodation","SFR"}))</f>
        <v>91005.70833832823</v>
      </c>
      <c r="S945" s="530">
        <f>SUM(SUMIFS(S:S,$D:$D,$D945,$E:$E,$E945,$F:$F,{"Serviced Accommodation","Non-Serviced Accommodation","SFR"}))</f>
        <v>67026.896092507493</v>
      </c>
      <c r="T945" s="530">
        <f>SUM(SUMIFS(T:T,$D:$D,$D945,$E:$E,$E945,$F:$F,{"Serviced Accommodation","Non-Serviced Accommodation","SFR"}))</f>
        <v>2092808.5186572056</v>
      </c>
      <c r="U945" s="530" t="s">
        <v>57</v>
      </c>
    </row>
    <row r="946" spans="1:21" ht="12.75" customHeight="1" x14ac:dyDescent="0.3">
      <c r="A946" s="530" t="str">
        <f t="shared" si="34"/>
        <v>North Wales.2015.Employment.Staying Visitor</v>
      </c>
      <c r="B946" s="530" t="s">
        <v>220</v>
      </c>
      <c r="C946" s="530" t="str">
        <f t="shared" si="35"/>
        <v>2015.Employment.Staying Visitor</v>
      </c>
      <c r="D946" s="530" t="s">
        <v>232</v>
      </c>
      <c r="E946" s="530" t="s">
        <v>20</v>
      </c>
      <c r="F946" s="530" t="s">
        <v>140</v>
      </c>
      <c r="G946" s="530" t="s">
        <v>140</v>
      </c>
      <c r="H946" s="530">
        <f>SUM(SUMIFS(H:H,$D:$D,$D946,$E:$E,$E946,$F:$F,{"Serviced Accommodation","Non-Serviced Accommodation","SFR"}))</f>
        <v>13959.252991341195</v>
      </c>
      <c r="I946" s="530">
        <f>SUM(SUMIFS(I:I,$D:$D,$D946,$E:$E,$E946,$F:$F,{"Serviced Accommodation","Non-Serviced Accommodation","SFR"}))</f>
        <v>14701.553454617548</v>
      </c>
      <c r="J946" s="530">
        <f>SUM(SUMIFS(J:J,$D:$D,$D946,$E:$E,$E946,$F:$F,{"Serviced Accommodation","Non-Serviced Accommodation","SFR"}))</f>
        <v>24663.07877404863</v>
      </c>
      <c r="K946" s="530">
        <f>SUM(SUMIFS(K:K,$D:$D,$D946,$E:$E,$E946,$F:$F,{"Serviced Accommodation","Non-Serviced Accommodation","SFR"}))</f>
        <v>27730.835410100517</v>
      </c>
      <c r="L946" s="530">
        <f>SUM(SUMIFS(L:L,$D:$D,$D946,$E:$E,$E946,$F:$F,{"Serviced Accommodation","Non-Serviced Accommodation","SFR"}))</f>
        <v>31521.040026355586</v>
      </c>
      <c r="M946" s="530">
        <f>SUM(SUMIFS(M:M,$D:$D,$D946,$E:$E,$E946,$F:$F,{"Serviced Accommodation","Non-Serviced Accommodation","SFR"}))</f>
        <v>31281.192756057484</v>
      </c>
      <c r="N946" s="530">
        <f>SUM(SUMIFS(N:N,$D:$D,$D946,$E:$E,$E946,$F:$F,{"Serviced Accommodation","Non-Serviced Accommodation","SFR"}))</f>
        <v>39850.309659771658</v>
      </c>
      <c r="O946" s="530">
        <f>SUM(SUMIFS(O:O,$D:$D,$D946,$E:$E,$E946,$F:$F,{"Serviced Accommodation","Non-Serviced Accommodation","SFR"}))</f>
        <v>45467.9840647807</v>
      </c>
      <c r="P946" s="530">
        <f>SUM(SUMIFS(P:P,$D:$D,$D946,$E:$E,$E946,$F:$F,{"Serviced Accommodation","Non-Serviced Accommodation","SFR"}))</f>
        <v>29189.303674685536</v>
      </c>
      <c r="Q946" s="530">
        <f>SUM(SUMIFS(Q:Q,$D:$D,$D946,$E:$E,$E946,$F:$F,{"Serviced Accommodation","Non-Serviced Accommodation","SFR"}))</f>
        <v>25776.426046516692</v>
      </c>
      <c r="R946" s="530">
        <f>SUM(SUMIFS(R:R,$D:$D,$D946,$E:$E,$E946,$F:$F,{"Serviced Accommodation","Non-Serviced Accommodation","SFR"}))</f>
        <v>17937.788056657904</v>
      </c>
      <c r="S946" s="530">
        <f>SUM(SUMIFS(S:S,$D:$D,$D946,$E:$E,$E946,$F:$F,{"Serviced Accommodation","Non-Serviced Accommodation","SFR"}))</f>
        <v>15507.716031882454</v>
      </c>
      <c r="T946" s="530">
        <f>SUM(SUMIFS(T:T,$D:$D,$D946,$E:$E,$E946,$F:$F,{"Serviced Accommodation","Non-Serviced Accommodation","SFR"}))</f>
        <v>26465.540078901329</v>
      </c>
      <c r="U946" s="530" t="s">
        <v>59</v>
      </c>
    </row>
    <row r="947" spans="1:21" ht="12.75" customHeight="1" x14ac:dyDescent="0.3">
      <c r="A947" s="530" t="str">
        <f t="shared" si="34"/>
        <v>North Wales.2015.Visitor Days.Staying Visitor</v>
      </c>
      <c r="B947" s="530" t="s">
        <v>220</v>
      </c>
      <c r="C947" s="530" t="str">
        <f t="shared" si="35"/>
        <v>2015.Visitor Days.Staying Visitor</v>
      </c>
      <c r="D947" s="530" t="s">
        <v>232</v>
      </c>
      <c r="E947" s="530" t="s">
        <v>171</v>
      </c>
      <c r="F947" s="530" t="s">
        <v>140</v>
      </c>
      <c r="G947" s="530" t="s">
        <v>140</v>
      </c>
      <c r="H947" s="530">
        <f>SUM(SUMIFS(H:H,$D:$D,$D947,$E:$E,$E947,$F:$F,{"Serviced Accommodation","Non-Serviced Accommodation","SFR"}))</f>
        <v>1103.797933930234</v>
      </c>
      <c r="I947" s="530">
        <f>SUM(SUMIFS(I:I,$D:$D,$D947,$E:$E,$E947,$F:$F,{"Serviced Accommodation","Non-Serviced Accommodation","SFR"}))</f>
        <v>1191.9060878930673</v>
      </c>
      <c r="J947" s="530">
        <f>SUM(SUMIFS(J:J,$D:$D,$D947,$E:$E,$E947,$F:$F,{"Serviced Accommodation","Non-Serviced Accommodation","SFR"}))</f>
        <v>3287.1830681462361</v>
      </c>
      <c r="K947" s="530">
        <f>SUM(SUMIFS(K:K,$D:$D,$D947,$E:$E,$E947,$F:$F,{"Serviced Accommodation","Non-Serviced Accommodation","SFR"}))</f>
        <v>3933.3961405355922</v>
      </c>
      <c r="L947" s="530">
        <f>SUM(SUMIFS(L:L,$D:$D,$D947,$E:$E,$E947,$F:$F,{"Serviced Accommodation","Non-Serviced Accommodation","SFR"}))</f>
        <v>4816.8602605617916</v>
      </c>
      <c r="M947" s="530">
        <f>SUM(SUMIFS(M:M,$D:$D,$D947,$E:$E,$E947,$F:$F,{"Serviced Accommodation","Non-Serviced Accommodation","SFR"}))</f>
        <v>4785.229971664101</v>
      </c>
      <c r="N947" s="530">
        <f>SUM(SUMIFS(N:N,$D:$D,$D947,$E:$E,$E947,$F:$F,{"Serviced Accommodation","Non-Serviced Accommodation","SFR"}))</f>
        <v>6655.0479375915738</v>
      </c>
      <c r="O947" s="530">
        <f>SUM(SUMIFS(O:O,$D:$D,$D947,$E:$E,$E947,$F:$F,{"Serviced Accommodation","Non-Serviced Accommodation","SFR"}))</f>
        <v>7373.2546175360239</v>
      </c>
      <c r="P947" s="530">
        <f>SUM(SUMIFS(P:P,$D:$D,$D947,$E:$E,$E947,$F:$F,{"Serviced Accommodation","Non-Serviced Accommodation","SFR"}))</f>
        <v>4364.523398598285</v>
      </c>
      <c r="Q947" s="530">
        <f>SUM(SUMIFS(Q:Q,$D:$D,$D947,$E:$E,$E947,$F:$F,{"Serviced Accommodation","Non-Serviced Accommodation","SFR"}))</f>
        <v>3547.0480040289917</v>
      </c>
      <c r="R947" s="530">
        <f>SUM(SUMIFS(R:R,$D:$D,$D947,$E:$E,$E947,$F:$F,{"Serviced Accommodation","Non-Serviced Accommodation","SFR"}))</f>
        <v>1877.4274998251271</v>
      </c>
      <c r="S947" s="530">
        <f>SUM(SUMIFS(S:S,$D:$D,$D947,$E:$E,$E947,$F:$F,{"Serviced Accommodation","Non-Serviced Accommodation","SFR"}))</f>
        <v>1379.1285638287368</v>
      </c>
      <c r="T947" s="530">
        <f>SUM(SUMIFS(T:T,$D:$D,$D947,$E:$E,$E947,$F:$F,{"Serviced Accommodation","Non-Serviced Accommodation","SFR"}))</f>
        <v>44314.80348413976</v>
      </c>
      <c r="U947" s="530" t="s">
        <v>61</v>
      </c>
    </row>
    <row r="948" spans="1:21" ht="12.75" customHeight="1" x14ac:dyDescent="0.3">
      <c r="A948" s="530" t="str">
        <f t="shared" si="34"/>
        <v>North Wales.2015.Visitor Numbers.Staying Visitor</v>
      </c>
      <c r="B948" s="530" t="s">
        <v>220</v>
      </c>
      <c r="C948" s="530" t="str">
        <f t="shared" si="35"/>
        <v>2015.Visitor Numbers.Staying Visitor</v>
      </c>
      <c r="D948" s="530" t="s">
        <v>232</v>
      </c>
      <c r="E948" s="530" t="s">
        <v>172</v>
      </c>
      <c r="F948" s="530" t="s">
        <v>140</v>
      </c>
      <c r="G948" s="530" t="s">
        <v>140</v>
      </c>
      <c r="H948" s="530">
        <f>SUM(SUMIFS(H:H,$D:$D,$D948,$E:$E,$E948,$F:$F,{"Serviced Accommodation","Non-Serviced Accommodation","SFR"}))</f>
        <v>434.16600756090389</v>
      </c>
      <c r="I948" s="530">
        <f>SUM(SUMIFS(I:I,$D:$D,$D948,$E:$E,$E948,$F:$F,{"Serviced Accommodation","Non-Serviced Accommodation","SFR"}))</f>
        <v>455.17807813105043</v>
      </c>
      <c r="J948" s="530">
        <f>SUM(SUMIFS(J:J,$D:$D,$D948,$E:$E,$E948,$F:$F,{"Serviced Accommodation","Non-Serviced Accommodation","SFR"}))</f>
        <v>807.54183680140704</v>
      </c>
      <c r="K948" s="530">
        <f>SUM(SUMIFS(K:K,$D:$D,$D948,$E:$E,$E948,$F:$F,{"Serviced Accommodation","Non-Serviced Accommodation","SFR"}))</f>
        <v>847.18713920451989</v>
      </c>
      <c r="L948" s="530">
        <f>SUM(SUMIFS(L:L,$D:$D,$D948,$E:$E,$E948,$F:$F,{"Serviced Accommodation","Non-Serviced Accommodation","SFR"}))</f>
        <v>950.49023929323153</v>
      </c>
      <c r="M948" s="530">
        <f>SUM(SUMIFS(M:M,$D:$D,$D948,$E:$E,$E948,$F:$F,{"Serviced Accommodation","Non-Serviced Accommodation","SFR"}))</f>
        <v>941.81555084443255</v>
      </c>
      <c r="N948" s="530">
        <f>SUM(SUMIFS(N:N,$D:$D,$D948,$E:$E,$E948,$F:$F,{"Serviced Accommodation","Non-Serviced Accommodation","SFR"}))</f>
        <v>1245.3198468381465</v>
      </c>
      <c r="O948" s="530">
        <f>SUM(SUMIFS(O:O,$D:$D,$D948,$E:$E,$E948,$F:$F,{"Serviced Accommodation","Non-Serviced Accommodation","SFR"}))</f>
        <v>1300.599384338567</v>
      </c>
      <c r="P948" s="530">
        <f>SUM(SUMIFS(P:P,$D:$D,$D948,$E:$E,$E948,$F:$F,{"Serviced Accommodation","Non-Serviced Accommodation","SFR"}))</f>
        <v>829.76103442137719</v>
      </c>
      <c r="Q948" s="530">
        <f>SUM(SUMIFS(Q:Q,$D:$D,$D948,$E:$E,$E948,$F:$F,{"Serviced Accommodation","Non-Serviced Accommodation","SFR"}))</f>
        <v>740.35278959923028</v>
      </c>
      <c r="R948" s="530">
        <f>SUM(SUMIFS(R:R,$D:$D,$D948,$E:$E,$E948,$F:$F,{"Serviced Accommodation","Non-Serviced Accommodation","SFR"}))</f>
        <v>561.99074756401694</v>
      </c>
      <c r="S948" s="530">
        <f>SUM(SUMIFS(S:S,$D:$D,$D948,$E:$E,$E948,$F:$F,{"Serviced Accommodation","Non-Serviced Accommodation","SFR"}))</f>
        <v>406.6886413595638</v>
      </c>
      <c r="T948" s="530">
        <f>SUM(SUMIFS(T:T,$D:$D,$D948,$E:$E,$E948,$F:$F,{"Serviced Accommodation","Non-Serviced Accommodation","SFR"}))</f>
        <v>9521.0912959564484</v>
      </c>
      <c r="U948" s="530" t="s">
        <v>61</v>
      </c>
    </row>
    <row r="949" spans="1:21" ht="12.75" customHeight="1" x14ac:dyDescent="0.3">
      <c r="A949" s="530" t="str">
        <f t="shared" si="34"/>
        <v>North Wales.2015.Vehicle Days.Staying Visitor</v>
      </c>
      <c r="B949" s="530" t="s">
        <v>220</v>
      </c>
      <c r="C949" s="530" t="str">
        <f t="shared" si="35"/>
        <v>2015.Vehicle Days.Staying Visitor</v>
      </c>
      <c r="D949" s="530" t="s">
        <v>232</v>
      </c>
      <c r="E949" s="530" t="s">
        <v>21</v>
      </c>
      <c r="F949" s="530" t="s">
        <v>140</v>
      </c>
      <c r="G949" s="530" t="s">
        <v>140</v>
      </c>
      <c r="H949" s="530">
        <f>SUM(SUMIFS(H:H,$D:$D,$D949,$E:$E,$E949,$F:$F,{"Serviced Accommodation","Non-Serviced Accommodation","SFR"}))</f>
        <v>299.7816820384362</v>
      </c>
      <c r="I949" s="530">
        <f>SUM(SUMIFS(I:I,$D:$D,$D949,$E:$E,$E949,$F:$F,{"Serviced Accommodation","Non-Serviced Accommodation","SFR"}))</f>
        <v>361.72253549759057</v>
      </c>
      <c r="J949" s="530">
        <f>SUM(SUMIFS(J:J,$D:$D,$D949,$E:$E,$E949,$F:$F,{"Serviced Accommodation","Non-Serviced Accommodation","SFR"}))</f>
        <v>913.46793027039894</v>
      </c>
      <c r="K949" s="530">
        <f>SUM(SUMIFS(K:K,$D:$D,$D949,$E:$E,$E949,$F:$F,{"Serviced Accommodation","Non-Serviced Accommodation","SFR"}))</f>
        <v>1032.7786298633496</v>
      </c>
      <c r="L949" s="530">
        <f>SUM(SUMIFS(L:L,$D:$D,$D949,$E:$E,$E949,$F:$F,{"Serviced Accommodation","Non-Serviced Accommodation","SFR"}))</f>
        <v>1298.4774185712565</v>
      </c>
      <c r="M949" s="530">
        <f>SUM(SUMIFS(M:M,$D:$D,$D949,$E:$E,$E949,$F:$F,{"Serviced Accommodation","Non-Serviced Accommodation","SFR"}))</f>
        <v>1275.8610119215055</v>
      </c>
      <c r="N949" s="530">
        <f>SUM(SUMIFS(N:N,$D:$D,$D949,$E:$E,$E949,$F:$F,{"Serviced Accommodation","Non-Serviced Accommodation","SFR"}))</f>
        <v>1730.9875337822029</v>
      </c>
      <c r="O949" s="530">
        <f>SUM(SUMIFS(O:O,$D:$D,$D949,$E:$E,$E949,$F:$F,{"Serviced Accommodation","Non-Serviced Accommodation","SFR"}))</f>
        <v>1908.0844989084874</v>
      </c>
      <c r="P949" s="530">
        <f>SUM(SUMIFS(P:P,$D:$D,$D949,$E:$E,$E949,$F:$F,{"Serviced Accommodation","Non-Serviced Accommodation","SFR"}))</f>
        <v>1139.3127206871534</v>
      </c>
      <c r="Q949" s="530">
        <f>SUM(SUMIFS(Q:Q,$D:$D,$D949,$E:$E,$E949,$F:$F,{"Serviced Accommodation","Non-Serviced Accommodation","SFR"}))</f>
        <v>933.99474670898996</v>
      </c>
      <c r="R949" s="530">
        <f>SUM(SUMIFS(R:R,$D:$D,$D949,$E:$E,$E949,$F:$F,{"Serviced Accommodation","Non-Serviced Accommodation","SFR"}))</f>
        <v>511.09452541992283</v>
      </c>
      <c r="S949" s="530">
        <f>SUM(SUMIFS(S:S,$D:$D,$D949,$E:$E,$E949,$F:$F,{"Serviced Accommodation","Non-Serviced Accommodation","SFR"}))</f>
        <v>365.92972885206626</v>
      </c>
      <c r="T949" s="530">
        <f>SUM(SUMIFS(T:T,$D:$D,$D949,$E:$E,$E949,$F:$F,{"Serviced Accommodation","Non-Serviced Accommodation","SFR"}))</f>
        <v>11771.492962521361</v>
      </c>
      <c r="U949" s="530" t="s">
        <v>61</v>
      </c>
    </row>
    <row r="950" spans="1:21" ht="12.75" customHeight="1" x14ac:dyDescent="0.3">
      <c r="A950" s="530" t="str">
        <f t="shared" si="34"/>
        <v>North Wales.2015.Vehicle Numbers.Staying Visitor</v>
      </c>
      <c r="B950" s="530" t="s">
        <v>220</v>
      </c>
      <c r="C950" s="530" t="str">
        <f t="shared" si="35"/>
        <v>2015.Vehicle Numbers.Staying Visitor</v>
      </c>
      <c r="D950" s="530" t="s">
        <v>232</v>
      </c>
      <c r="E950" s="530" t="s">
        <v>22</v>
      </c>
      <c r="F950" s="530" t="s">
        <v>140</v>
      </c>
      <c r="G950" s="530" t="s">
        <v>140</v>
      </c>
      <c r="H950" s="530">
        <f>SUM(SUMIFS(H:H,$D:$D,$D950,$E:$E,$E950,$F:$F,{"Serviced Accommodation","Non-Serviced Accommodation","SFR"}))</f>
        <v>118.39960431220922</v>
      </c>
      <c r="I950" s="530">
        <f>SUM(SUMIFS(I:I,$D:$D,$D950,$E:$E,$E950,$F:$F,{"Serviced Accommodation","Non-Serviced Accommodation","SFR"}))</f>
        <v>143.6675971099595</v>
      </c>
      <c r="J950" s="530">
        <f>SUM(SUMIFS(J:J,$D:$D,$D950,$E:$E,$E950,$F:$F,{"Serviced Accommodation","Non-Serviced Accommodation","SFR"}))</f>
        <v>232.7234703628861</v>
      </c>
      <c r="K950" s="530">
        <f>SUM(SUMIFS(K:K,$D:$D,$D950,$E:$E,$E950,$F:$F,{"Serviced Accommodation","Non-Serviced Accommodation","SFR"}))</f>
        <v>225.5614458590552</v>
      </c>
      <c r="L950" s="530">
        <f>SUM(SUMIFS(L:L,$D:$D,$D950,$E:$E,$E950,$F:$F,{"Serviced Accommodation","Non-Serviced Accommodation","SFR"}))</f>
        <v>260.40404325651826</v>
      </c>
      <c r="M950" s="530">
        <f>SUM(SUMIFS(M:M,$D:$D,$D950,$E:$E,$E950,$F:$F,{"Serviced Accommodation","Non-Serviced Accommodation","SFR"}))</f>
        <v>256.06816640001193</v>
      </c>
      <c r="N950" s="530">
        <f>SUM(SUMIFS(N:N,$D:$D,$D950,$E:$E,$E950,$F:$F,{"Serviced Accommodation","Non-Serviced Accommodation","SFR"}))</f>
        <v>327.63320138416287</v>
      </c>
      <c r="O950" s="530">
        <f>SUM(SUMIFS(O:O,$D:$D,$D950,$E:$E,$E950,$F:$F,{"Serviced Accommodation","Non-Serviced Accommodation","SFR"}))</f>
        <v>340.99879497742529</v>
      </c>
      <c r="P950" s="530">
        <f>SUM(SUMIFS(P:P,$D:$D,$D950,$E:$E,$E950,$F:$F,{"Serviced Accommodation","Non-Serviced Accommodation","SFR"}))</f>
        <v>218.86389073281481</v>
      </c>
      <c r="Q950" s="530">
        <f>SUM(SUMIFS(Q:Q,$D:$D,$D950,$E:$E,$E950,$F:$F,{"Serviced Accommodation","Non-Serviced Accommodation","SFR"}))</f>
        <v>205.08756807853862</v>
      </c>
      <c r="R950" s="530">
        <f>SUM(SUMIFS(R:R,$D:$D,$D950,$E:$E,$E950,$F:$F,{"Serviced Accommodation","Non-Serviced Accommodation","SFR"}))</f>
        <v>157.40765753796538</v>
      </c>
      <c r="S950" s="530">
        <f>SUM(SUMIFS(S:S,$D:$D,$D950,$E:$E,$E950,$F:$F,{"Serviced Accommodation","Non-Serviced Accommodation","SFR"}))</f>
        <v>110.58092656944524</v>
      </c>
      <c r="T950" s="530">
        <f>SUM(SUMIFS(T:T,$D:$D,$D950,$E:$E,$E950,$F:$F,{"Serviced Accommodation","Non-Serviced Accommodation","SFR"}))</f>
        <v>2597.3963665809929</v>
      </c>
      <c r="U950" s="530" t="s">
        <v>61</v>
      </c>
    </row>
    <row r="951" spans="1:21" ht="12.75" customHeight="1" x14ac:dyDescent="0.3">
      <c r="A951" s="530" t="str">
        <f t="shared" si="34"/>
        <v>North Wales.2016.Economic Impact.Staying Visitor</v>
      </c>
      <c r="B951" s="530" t="s">
        <v>220</v>
      </c>
      <c r="C951" s="530" t="str">
        <f t="shared" si="35"/>
        <v>2016.Economic Impact.Staying Visitor</v>
      </c>
      <c r="D951" s="530" t="s">
        <v>233</v>
      </c>
      <c r="E951" s="530" t="s">
        <v>17</v>
      </c>
      <c r="F951" s="530" t="s">
        <v>140</v>
      </c>
      <c r="G951" s="530" t="s">
        <v>140</v>
      </c>
      <c r="H951" s="530">
        <f>SUM(SUMIFS(H:H,$D:$D,$D951,$E:$E,$E951,$F:$F,{"Serviced Accommodation","Non-Serviced Accommodation","SFR"}))</f>
        <v>54861.985854667371</v>
      </c>
      <c r="I951" s="530">
        <f>SUM(SUMIFS(I:I,$D:$D,$D951,$E:$E,$E951,$F:$F,{"Serviced Accommodation","Non-Serviced Accommodation","SFR"}))</f>
        <v>65277.323178444494</v>
      </c>
      <c r="J951" s="530">
        <f>SUM(SUMIFS(J:J,$D:$D,$D951,$E:$E,$E951,$F:$F,{"Serviced Accommodation","Non-Serviced Accommodation","SFR"}))</f>
        <v>176265.40610690767</v>
      </c>
      <c r="K951" s="530">
        <f>SUM(SUMIFS(K:K,$D:$D,$D951,$E:$E,$E951,$F:$F,{"Serviced Accommodation","Non-Serviced Accommodation","SFR"}))</f>
        <v>179473.83631940419</v>
      </c>
      <c r="L951" s="530">
        <f>SUM(SUMIFS(L:L,$D:$D,$D951,$E:$E,$E951,$F:$F,{"Serviced Accommodation","Non-Serviced Accommodation","SFR"}))</f>
        <v>193439.87032690286</v>
      </c>
      <c r="M951" s="530">
        <f>SUM(SUMIFS(M:M,$D:$D,$D951,$E:$E,$E951,$F:$F,{"Serviced Accommodation","Non-Serviced Accommodation","SFR"}))</f>
        <v>237290.77293980701</v>
      </c>
      <c r="N951" s="530">
        <f>SUM(SUMIFS(N:N,$D:$D,$D951,$E:$E,$E951,$F:$F,{"Serviced Accommodation","Non-Serviced Accommodation","SFR"}))</f>
        <v>327742.4036459463</v>
      </c>
      <c r="O951" s="530">
        <f>SUM(SUMIFS(O:O,$D:$D,$D951,$E:$E,$E951,$F:$F,{"Serviced Accommodation","Non-Serviced Accommodation","SFR"}))</f>
        <v>346951.5945461262</v>
      </c>
      <c r="P951" s="530">
        <f>SUM(SUMIFS(P:P,$D:$D,$D951,$E:$E,$E951,$F:$F,{"Serviced Accommodation","Non-Serviced Accommodation","SFR"}))</f>
        <v>243955.25326397558</v>
      </c>
      <c r="Q951" s="530">
        <f>SUM(SUMIFS(Q:Q,$D:$D,$D951,$E:$E,$E951,$F:$F,{"Serviced Accommodation","Non-Serviced Accommodation","SFR"}))</f>
        <v>160699.4764944881</v>
      </c>
      <c r="R951" s="530">
        <f>SUM(SUMIFS(R:R,$D:$D,$D951,$E:$E,$E951,$F:$F,{"Serviced Accommodation","Non-Serviced Accommodation","SFR"}))</f>
        <v>102618.34960220818</v>
      </c>
      <c r="S951" s="530">
        <f>SUM(SUMIFS(S:S,$D:$D,$D951,$E:$E,$E951,$F:$F,{"Serviced Accommodation","Non-Serviced Accommodation","SFR"}))</f>
        <v>80453.106576232662</v>
      </c>
      <c r="T951" s="530">
        <f>SUM(SUMIFS(T:T,$D:$D,$D951,$E:$E,$E951,$F:$F,{"Serviced Accommodation","Non-Serviced Accommodation","SFR"}))</f>
        <v>2169029.3788551106</v>
      </c>
      <c r="U951" s="530" t="s">
        <v>57</v>
      </c>
    </row>
    <row r="952" spans="1:21" ht="12.75" customHeight="1" x14ac:dyDescent="0.3">
      <c r="A952" s="530" t="str">
        <f t="shared" si="34"/>
        <v>North Wales.2016.Employment.Staying Visitor</v>
      </c>
      <c r="B952" s="530" t="s">
        <v>220</v>
      </c>
      <c r="C952" s="530" t="str">
        <f t="shared" si="35"/>
        <v>2016.Employment.Staying Visitor</v>
      </c>
      <c r="D952" s="530" t="s">
        <v>233</v>
      </c>
      <c r="E952" s="530" t="s">
        <v>20</v>
      </c>
      <c r="F952" s="530" t="s">
        <v>140</v>
      </c>
      <c r="G952" s="530" t="s">
        <v>140</v>
      </c>
      <c r="H952" s="530">
        <f>SUM(SUMIFS(H:H,$D:$D,$D952,$E:$E,$E952,$F:$F,{"Serviced Accommodation","Non-Serviced Accommodation","SFR"}))</f>
        <v>13939.538494891229</v>
      </c>
      <c r="I952" s="530">
        <f>SUM(SUMIFS(I:I,$D:$D,$D952,$E:$E,$E952,$F:$F,{"Serviced Accommodation","Non-Serviced Accommodation","SFR"}))</f>
        <v>14629.193812902302</v>
      </c>
      <c r="J952" s="530">
        <f>SUM(SUMIFS(J:J,$D:$D,$D952,$E:$E,$E952,$F:$F,{"Serviced Accommodation","Non-Serviced Accommodation","SFR"}))</f>
        <v>27549.367846495603</v>
      </c>
      <c r="K952" s="530">
        <f>SUM(SUMIFS(K:K,$D:$D,$D952,$E:$E,$E952,$F:$F,{"Serviced Accommodation","Non-Serviced Accommodation","SFR"}))</f>
        <v>28020.33742165703</v>
      </c>
      <c r="L952" s="530">
        <f>SUM(SUMIFS(L:L,$D:$D,$D952,$E:$E,$E952,$F:$F,{"Serviced Accommodation","Non-Serviced Accommodation","SFR"}))</f>
        <v>29244.436532948737</v>
      </c>
      <c r="M952" s="530">
        <f>SUM(SUMIFS(M:M,$D:$D,$D952,$E:$E,$E952,$F:$F,{"Serviced Accommodation","Non-Serviced Accommodation","SFR"}))</f>
        <v>33784.920596460295</v>
      </c>
      <c r="N952" s="530">
        <f>SUM(SUMIFS(N:N,$D:$D,$D952,$E:$E,$E952,$F:$F,{"Serviced Accommodation","Non-Serviced Accommodation","SFR"}))</f>
        <v>39285.288342349595</v>
      </c>
      <c r="O952" s="530">
        <f>SUM(SUMIFS(O:O,$D:$D,$D952,$E:$E,$E952,$F:$F,{"Serviced Accommodation","Non-Serviced Accommodation","SFR"}))</f>
        <v>42389.919947450428</v>
      </c>
      <c r="P952" s="530">
        <f>SUM(SUMIFS(P:P,$D:$D,$D952,$E:$E,$E952,$F:$F,{"Serviced Accommodation","Non-Serviced Accommodation","SFR"}))</f>
        <v>30389.617659594267</v>
      </c>
      <c r="Q952" s="530">
        <f>SUM(SUMIFS(Q:Q,$D:$D,$D952,$E:$E,$E952,$F:$F,{"Serviced Accommodation","Non-Serviced Accommodation","SFR"}))</f>
        <v>25950.686028458433</v>
      </c>
      <c r="R952" s="530">
        <f>SUM(SUMIFS(R:R,$D:$D,$D952,$E:$E,$E952,$F:$F,{"Serviced Accommodation","Non-Serviced Accommodation","SFR"}))</f>
        <v>18798.230677116302</v>
      </c>
      <c r="S952" s="530">
        <f>SUM(SUMIFS(S:S,$D:$D,$D952,$E:$E,$E952,$F:$F,{"Serviced Accommodation","Non-Serviced Accommodation","SFR"}))</f>
        <v>16522.513321110699</v>
      </c>
      <c r="T952" s="530">
        <f>SUM(SUMIFS(T:T,$D:$D,$D952,$E:$E,$E952,$F:$F,{"Serviced Accommodation","Non-Serviced Accommodation","SFR"}))</f>
        <v>26708.670890119574</v>
      </c>
      <c r="U952" s="530" t="s">
        <v>59</v>
      </c>
    </row>
    <row r="953" spans="1:21" ht="12.75" customHeight="1" x14ac:dyDescent="0.3">
      <c r="A953" s="530" t="str">
        <f t="shared" si="34"/>
        <v>North Wales.2016.Visitor Days.Staying Visitor</v>
      </c>
      <c r="B953" s="530" t="s">
        <v>220</v>
      </c>
      <c r="C953" s="530" t="str">
        <f t="shared" si="35"/>
        <v>2016.Visitor Days.Staying Visitor</v>
      </c>
      <c r="D953" s="530" t="s">
        <v>233</v>
      </c>
      <c r="E953" s="530" t="s">
        <v>171</v>
      </c>
      <c r="F953" s="530" t="s">
        <v>140</v>
      </c>
      <c r="G953" s="530" t="s">
        <v>140</v>
      </c>
      <c r="H953" s="530">
        <f>SUM(SUMIFS(H:H,$D:$D,$D953,$E:$E,$E953,$F:$F,{"Serviced Accommodation","Non-Serviced Accommodation","SFR"}))</f>
        <v>1096.2048955365753</v>
      </c>
      <c r="I953" s="530">
        <f>SUM(SUMIFS(I:I,$D:$D,$D953,$E:$E,$E953,$F:$F,{"Serviced Accommodation","Non-Serviced Accommodation","SFR"}))</f>
        <v>1184.146305182288</v>
      </c>
      <c r="J953" s="530">
        <f>SUM(SUMIFS(J:J,$D:$D,$D953,$E:$E,$E953,$F:$F,{"Serviced Accommodation","Non-Serviced Accommodation","SFR"}))</f>
        <v>3822.5876252228791</v>
      </c>
      <c r="K953" s="530">
        <f>SUM(SUMIFS(K:K,$D:$D,$D953,$E:$E,$E953,$F:$F,{"Serviced Accommodation","Non-Serviced Accommodation","SFR"}))</f>
        <v>4013.8283699072754</v>
      </c>
      <c r="L953" s="530">
        <f>SUM(SUMIFS(L:L,$D:$D,$D953,$E:$E,$E953,$F:$F,{"Serviced Accommodation","Non-Serviced Accommodation","SFR"}))</f>
        <v>4337.3795230244605</v>
      </c>
      <c r="M953" s="530">
        <f>SUM(SUMIFS(M:M,$D:$D,$D953,$E:$E,$E953,$F:$F,{"Serviced Accommodation","Non-Serviced Accommodation","SFR"}))</f>
        <v>5272.3903197964446</v>
      </c>
      <c r="N953" s="530">
        <f>SUM(SUMIFS(N:N,$D:$D,$D953,$E:$E,$E953,$F:$F,{"Serviced Accommodation","Non-Serviced Accommodation","SFR"}))</f>
        <v>6623.1075365033394</v>
      </c>
      <c r="O953" s="530">
        <f>SUM(SUMIFS(O:O,$D:$D,$D953,$E:$E,$E953,$F:$F,{"Serviced Accommodation","Non-Serviced Accommodation","SFR"}))</f>
        <v>6864.7630981213342</v>
      </c>
      <c r="P953" s="530">
        <f>SUM(SUMIFS(P:P,$D:$D,$D953,$E:$E,$E953,$F:$F,{"Serviced Accommodation","Non-Serviced Accommodation","SFR"}))</f>
        <v>4574.9241072035775</v>
      </c>
      <c r="Q953" s="530">
        <f>SUM(SUMIFS(Q:Q,$D:$D,$D953,$E:$E,$E953,$F:$F,{"Serviced Accommodation","Non-Serviced Accommodation","SFR"}))</f>
        <v>3592.4428652760935</v>
      </c>
      <c r="R953" s="530">
        <f>SUM(SUMIFS(R:R,$D:$D,$D953,$E:$E,$E953,$F:$F,{"Serviced Accommodation","Non-Serviced Accommodation","SFR"}))</f>
        <v>2056.4194990719693</v>
      </c>
      <c r="S953" s="530">
        <f>SUM(SUMIFS(S:S,$D:$D,$D953,$E:$E,$E953,$F:$F,{"Serviced Accommodation","Non-Serviced Accommodation","SFR"}))</f>
        <v>1591.0755849665366</v>
      </c>
      <c r="T953" s="530">
        <f>SUM(SUMIFS(T:T,$D:$D,$D953,$E:$E,$E953,$F:$F,{"Serviced Accommodation","Non-Serviced Accommodation","SFR"}))</f>
        <v>45029.269729812768</v>
      </c>
      <c r="U953" s="530" t="s">
        <v>61</v>
      </c>
    </row>
    <row r="954" spans="1:21" ht="12.75" customHeight="1" x14ac:dyDescent="0.3">
      <c r="A954" s="530" t="str">
        <f t="shared" si="34"/>
        <v>North Wales.2016.Visitor Numbers.Staying Visitor</v>
      </c>
      <c r="B954" s="530" t="s">
        <v>220</v>
      </c>
      <c r="C954" s="530" t="str">
        <f t="shared" si="35"/>
        <v>2016.Visitor Numbers.Staying Visitor</v>
      </c>
      <c r="D954" s="530" t="s">
        <v>233</v>
      </c>
      <c r="E954" s="530" t="s">
        <v>172</v>
      </c>
      <c r="F954" s="530" t="s">
        <v>140</v>
      </c>
      <c r="G954" s="530" t="s">
        <v>140</v>
      </c>
      <c r="H954" s="530">
        <f>SUM(SUMIFS(H:H,$D:$D,$D954,$E:$E,$E954,$F:$F,{"Serviced Accommodation","Non-Serviced Accommodation","SFR"}))</f>
        <v>434.71475616888688</v>
      </c>
      <c r="I954" s="530">
        <f>SUM(SUMIFS(I:I,$D:$D,$D954,$E:$E,$E954,$F:$F,{"Serviced Accommodation","Non-Serviced Accommodation","SFR"}))</f>
        <v>440.28668464970559</v>
      </c>
      <c r="J954" s="530">
        <f>SUM(SUMIFS(J:J,$D:$D,$D954,$E:$E,$E954,$F:$F,{"Serviced Accommodation","Non-Serviced Accommodation","SFR"}))</f>
        <v>915.5705324055574</v>
      </c>
      <c r="K954" s="530">
        <f>SUM(SUMIFS(K:K,$D:$D,$D954,$E:$E,$E954,$F:$F,{"Serviced Accommodation","Non-Serviced Accommodation","SFR"}))</f>
        <v>858.5627286764842</v>
      </c>
      <c r="L954" s="530">
        <f>SUM(SUMIFS(L:L,$D:$D,$D954,$E:$E,$E954,$F:$F,{"Serviced Accommodation","Non-Serviced Accommodation","SFR"}))</f>
        <v>886.42393284929324</v>
      </c>
      <c r="M954" s="530">
        <f>SUM(SUMIFS(M:M,$D:$D,$D954,$E:$E,$E954,$F:$F,{"Serviced Accommodation","Non-Serviced Accommodation","SFR"}))</f>
        <v>1008.1544960862545</v>
      </c>
      <c r="N954" s="530">
        <f>SUM(SUMIFS(N:N,$D:$D,$D954,$E:$E,$E954,$F:$F,{"Serviced Accommodation","Non-Serviced Accommodation","SFR"}))</f>
        <v>1225.4018586845721</v>
      </c>
      <c r="O954" s="530">
        <f>SUM(SUMIFS(O:O,$D:$D,$D954,$E:$E,$E954,$F:$F,{"Serviced Accommodation","Non-Serviced Accommodation","SFR"}))</f>
        <v>1234.8362858153439</v>
      </c>
      <c r="P954" s="530">
        <f>SUM(SUMIFS(P:P,$D:$D,$D954,$E:$E,$E954,$F:$F,{"Serviced Accommodation","Non-Serviced Accommodation","SFR"}))</f>
        <v>886.40499632600461</v>
      </c>
      <c r="Q954" s="530">
        <f>SUM(SUMIFS(Q:Q,$D:$D,$D954,$E:$E,$E954,$F:$F,{"Serviced Accommodation","Non-Serviced Accommodation","SFR"}))</f>
        <v>713.28465385443258</v>
      </c>
      <c r="R954" s="530">
        <f>SUM(SUMIFS(R:R,$D:$D,$D954,$E:$E,$E954,$F:$F,{"Serviced Accommodation","Non-Serviced Accommodation","SFR"}))</f>
        <v>603.86753490921046</v>
      </c>
      <c r="S954" s="530">
        <f>SUM(SUMIFS(S:S,$D:$D,$D954,$E:$E,$E954,$F:$F,{"Serviced Accommodation","Non-Serviced Accommodation","SFR"}))</f>
        <v>463.57509580360448</v>
      </c>
      <c r="T954" s="530">
        <f>SUM(SUMIFS(T:T,$D:$D,$D954,$E:$E,$E954,$F:$F,{"Serviced Accommodation","Non-Serviced Accommodation","SFR"}))</f>
        <v>9671.0835562293487</v>
      </c>
      <c r="U954" s="530" t="s">
        <v>61</v>
      </c>
    </row>
    <row r="955" spans="1:21" ht="12.75" customHeight="1" x14ac:dyDescent="0.3">
      <c r="A955" s="530" t="str">
        <f t="shared" si="34"/>
        <v>North Wales.2016.Vehicle Days.Staying Visitor</v>
      </c>
      <c r="B955" s="530" t="s">
        <v>220</v>
      </c>
      <c r="C955" s="530" t="str">
        <f t="shared" si="35"/>
        <v>2016.Vehicle Days.Staying Visitor</v>
      </c>
      <c r="D955" s="530" t="s">
        <v>233</v>
      </c>
      <c r="E955" s="530" t="s">
        <v>21</v>
      </c>
      <c r="F955" s="530" t="s">
        <v>140</v>
      </c>
      <c r="G955" s="530" t="s">
        <v>140</v>
      </c>
      <c r="H955" s="530">
        <f>SUM(SUMIFS(H:H,$D:$D,$D955,$E:$E,$E955,$F:$F,{"Serviced Accommodation","Non-Serviced Accommodation","SFR"}))</f>
        <v>297.78996111634615</v>
      </c>
      <c r="I955" s="530">
        <f>SUM(SUMIFS(I:I,$D:$D,$D955,$E:$E,$E955,$F:$F,{"Serviced Accommodation","Non-Serviced Accommodation","SFR"}))</f>
        <v>358.30094806782324</v>
      </c>
      <c r="J955" s="530">
        <f>SUM(SUMIFS(J:J,$D:$D,$D955,$E:$E,$E955,$F:$F,{"Serviced Accommodation","Non-Serviced Accommodation","SFR"}))</f>
        <v>1073.8789665727161</v>
      </c>
      <c r="K955" s="530">
        <f>SUM(SUMIFS(K:K,$D:$D,$D955,$E:$E,$E955,$F:$F,{"Serviced Accommodation","Non-Serviced Accommodation","SFR"}))</f>
        <v>1055.9833979399646</v>
      </c>
      <c r="L955" s="530">
        <f>SUM(SUMIFS(L:L,$D:$D,$D955,$E:$E,$E955,$F:$F,{"Serviced Accommodation","Non-Serviced Accommodation","SFR"}))</f>
        <v>1146.7495010047844</v>
      </c>
      <c r="M955" s="530">
        <f>SUM(SUMIFS(M:M,$D:$D,$D955,$E:$E,$E955,$F:$F,{"Serviced Accommodation","Non-Serviced Accommodation","SFR"}))</f>
        <v>1415.4679615070306</v>
      </c>
      <c r="N955" s="530">
        <f>SUM(SUMIFS(N:N,$D:$D,$D955,$E:$E,$E955,$F:$F,{"Serviced Accommodation","Non-Serviced Accommodation","SFR"}))</f>
        <v>1723.0852710382369</v>
      </c>
      <c r="O955" s="530">
        <f>SUM(SUMIFS(O:O,$D:$D,$D955,$E:$E,$E955,$F:$F,{"Serviced Accommodation","Non-Serviced Accommodation","SFR"}))</f>
        <v>1752.0583979174555</v>
      </c>
      <c r="P955" s="530">
        <f>SUM(SUMIFS(P:P,$D:$D,$D955,$E:$E,$E955,$F:$F,{"Serviced Accommodation","Non-Serviced Accommodation","SFR"}))</f>
        <v>1194.4014201905218</v>
      </c>
      <c r="Q955" s="530">
        <f>SUM(SUMIFS(Q:Q,$D:$D,$D955,$E:$E,$E955,$F:$F,{"Serviced Accommodation","Non-Serviced Accommodation","SFR"}))</f>
        <v>944.44656220288277</v>
      </c>
      <c r="R955" s="530">
        <f>SUM(SUMIFS(R:R,$D:$D,$D955,$E:$E,$E955,$F:$F,{"Serviced Accommodation","Non-Serviced Accommodation","SFR"}))</f>
        <v>563.17057358295529</v>
      </c>
      <c r="S955" s="530">
        <f>SUM(SUMIFS(S:S,$D:$D,$D955,$E:$E,$E955,$F:$F,{"Serviced Accommodation","Non-Serviced Accommodation","SFR"}))</f>
        <v>424.60312379759893</v>
      </c>
      <c r="T955" s="530">
        <f>SUM(SUMIFS(T:T,$D:$D,$D955,$E:$E,$E955,$F:$F,{"Serviced Accommodation","Non-Serviced Accommodation","SFR"}))</f>
        <v>11949.936084938319</v>
      </c>
      <c r="U955" s="530" t="s">
        <v>61</v>
      </c>
    </row>
    <row r="956" spans="1:21" ht="12.75" customHeight="1" x14ac:dyDescent="0.3">
      <c r="A956" s="530" t="str">
        <f t="shared" si="34"/>
        <v>North Wales.2016.Vehicle Numbers.Staying Visitor</v>
      </c>
      <c r="B956" s="530" t="s">
        <v>220</v>
      </c>
      <c r="C956" s="530" t="str">
        <f t="shared" si="35"/>
        <v>2016.Vehicle Numbers.Staying Visitor</v>
      </c>
      <c r="D956" s="530" t="s">
        <v>233</v>
      </c>
      <c r="E956" s="530" t="s">
        <v>22</v>
      </c>
      <c r="F956" s="530" t="s">
        <v>140</v>
      </c>
      <c r="G956" s="530" t="s">
        <v>140</v>
      </c>
      <c r="H956" s="530">
        <f>SUM(SUMIFS(H:H,$D:$D,$D956,$E:$E,$E956,$F:$F,{"Serviced Accommodation","Non-Serviced Accommodation","SFR"}))</f>
        <v>118.51907246309057</v>
      </c>
      <c r="I956" s="530">
        <f>SUM(SUMIFS(I:I,$D:$D,$D956,$E:$E,$E956,$F:$F,{"Serviced Accommodation","Non-Serviced Accommodation","SFR"}))</f>
        <v>138.3092733450755</v>
      </c>
      <c r="J956" s="530">
        <f>SUM(SUMIFS(J:J,$D:$D,$D956,$E:$E,$E956,$F:$F,{"Serviced Accommodation","Non-Serviced Accommodation","SFR"}))</f>
        <v>264.84628115229918</v>
      </c>
      <c r="K956" s="530">
        <f>SUM(SUMIFS(K:K,$D:$D,$D956,$E:$E,$E956,$F:$F,{"Serviced Accommodation","Non-Serviced Accommodation","SFR"}))</f>
        <v>228.93319821573363</v>
      </c>
      <c r="L956" s="530">
        <f>SUM(SUMIFS(L:L,$D:$D,$D956,$E:$E,$E956,$F:$F,{"Serviced Accommodation","Non-Serviced Accommodation","SFR"}))</f>
        <v>240.33718512101888</v>
      </c>
      <c r="M956" s="530">
        <f>SUM(SUMIFS(M:M,$D:$D,$D956,$E:$E,$E956,$F:$F,{"Serviced Accommodation","Non-Serviced Accommodation","SFR"}))</f>
        <v>275.16433522459397</v>
      </c>
      <c r="N956" s="530">
        <f>SUM(SUMIFS(N:N,$D:$D,$D956,$E:$E,$E956,$F:$F,{"Serviced Accommodation","Non-Serviced Accommodation","SFR"}))</f>
        <v>322.56419077034059</v>
      </c>
      <c r="O956" s="530">
        <f>SUM(SUMIFS(O:O,$D:$D,$D956,$E:$E,$E956,$F:$F,{"Serviced Accommodation","Non-Serviced Accommodation","SFR"}))</f>
        <v>320.83041412419675</v>
      </c>
      <c r="P956" s="530">
        <f>SUM(SUMIFS(P:P,$D:$D,$D956,$E:$E,$E956,$F:$F,{"Serviced Accommodation","Non-Serviced Accommodation","SFR"}))</f>
        <v>233.85106932650723</v>
      </c>
      <c r="Q956" s="530">
        <f>SUM(SUMIFS(Q:Q,$D:$D,$D956,$E:$E,$E956,$F:$F,{"Serviced Accommodation","Non-Serviced Accommodation","SFR"}))</f>
        <v>196.02425099732747</v>
      </c>
      <c r="R956" s="530">
        <f>SUM(SUMIFS(R:R,$D:$D,$D956,$E:$E,$E956,$F:$F,{"Serviced Accommodation","Non-Serviced Accommodation","SFR"}))</f>
        <v>169.63332100293218</v>
      </c>
      <c r="S956" s="530">
        <f>SUM(SUMIFS(S:S,$D:$D,$D956,$E:$E,$E956,$F:$F,{"Serviced Accommodation","Non-Serviced Accommodation","SFR"}))</f>
        <v>125.9485760031294</v>
      </c>
      <c r="T956" s="530">
        <f>SUM(SUMIFS(T:T,$D:$D,$D956,$E:$E,$E956,$F:$F,{"Serviced Accommodation","Non-Serviced Accommodation","SFR"}))</f>
        <v>2634.9611677462453</v>
      </c>
      <c r="U956" s="530" t="s">
        <v>61</v>
      </c>
    </row>
    <row r="957" spans="1:21" ht="12.75" customHeight="1" x14ac:dyDescent="0.3">
      <c r="A957" s="530" t="str">
        <f t="shared" si="34"/>
        <v>North Wales.2017.Economic Impact.Staying Visitor</v>
      </c>
      <c r="B957" s="530" t="s">
        <v>220</v>
      </c>
      <c r="C957" s="530" t="str">
        <f t="shared" si="35"/>
        <v>2017.Economic Impact.Staying Visitor</v>
      </c>
      <c r="D957" s="530" t="s">
        <v>234</v>
      </c>
      <c r="E957" s="530" t="s">
        <v>17</v>
      </c>
      <c r="F957" s="530" t="s">
        <v>140</v>
      </c>
      <c r="G957" s="530" t="s">
        <v>140</v>
      </c>
      <c r="H957" s="530">
        <f>SUM(SUMIFS(H:H,$D:$D,$D957,$E:$E,$E957,$F:$F,{"Serviced Accommodation","Non-Serviced Accommodation","SFR"}))</f>
        <v>68882.365230951182</v>
      </c>
      <c r="I957" s="530">
        <f>SUM(SUMIFS(I:I,$D:$D,$D957,$E:$E,$E957,$F:$F,{"Serviced Accommodation","Non-Serviced Accommodation","SFR"}))</f>
        <v>81761.82430576277</v>
      </c>
      <c r="J957" s="530">
        <f>SUM(SUMIFS(J:J,$D:$D,$D957,$E:$E,$E957,$F:$F,{"Serviced Accommodation","Non-Serviced Accommodation","SFR"}))</f>
        <v>178684.96222337312</v>
      </c>
      <c r="K957" s="530">
        <f>SUM(SUMIFS(K:K,$D:$D,$D957,$E:$E,$E957,$F:$F,{"Serviced Accommodation","Non-Serviced Accommodation","SFR"}))</f>
        <v>217453.45859979081</v>
      </c>
      <c r="L957" s="530">
        <f>SUM(SUMIFS(L:L,$D:$D,$D957,$E:$E,$E957,$F:$F,{"Serviced Accommodation","Non-Serviced Accommodation","SFR"}))</f>
        <v>210608.80962842423</v>
      </c>
      <c r="M957" s="530">
        <f>SUM(SUMIFS(M:M,$D:$D,$D957,$E:$E,$E957,$F:$F,{"Serviced Accommodation","Non-Serviced Accommodation","SFR"}))</f>
        <v>248193.62893129879</v>
      </c>
      <c r="N957" s="530">
        <f>SUM(SUMIFS(N:N,$D:$D,$D957,$E:$E,$E957,$F:$F,{"Serviced Accommodation","Non-Serviced Accommodation","SFR"}))</f>
        <v>327833.52152439713</v>
      </c>
      <c r="O957" s="530">
        <f>SUM(SUMIFS(O:O,$D:$D,$D957,$E:$E,$E957,$F:$F,{"Serviced Accommodation","Non-Serviced Accommodation","SFR"}))</f>
        <v>344762.73964517721</v>
      </c>
      <c r="P957" s="530">
        <f>SUM(SUMIFS(P:P,$D:$D,$D957,$E:$E,$E957,$F:$F,{"Serviced Accommodation","Non-Serviced Accommodation","SFR"}))</f>
        <v>250922.91424297844</v>
      </c>
      <c r="Q957" s="530">
        <f>SUM(SUMIFS(Q:Q,$D:$D,$D957,$E:$E,$E957,$F:$F,{"Serviced Accommodation","Non-Serviced Accommodation","SFR"}))</f>
        <v>190166.31982153567</v>
      </c>
      <c r="R957" s="530">
        <f>SUM(SUMIFS(R:R,$D:$D,$D957,$E:$E,$E957,$F:$F,{"Serviced Accommodation","Non-Serviced Accommodation","SFR"}))</f>
        <v>105258.23147490917</v>
      </c>
      <c r="S957" s="530">
        <f>SUM(SUMIFS(S:S,$D:$D,$D957,$E:$E,$E957,$F:$F,{"Serviced Accommodation","Non-Serviced Accommodation","SFR"}))</f>
        <v>88447.793263079468</v>
      </c>
      <c r="T957" s="530">
        <f>SUM(SUMIFS(T:T,$D:$D,$D957,$E:$E,$E957,$F:$F,{"Serviced Accommodation","Non-Serviced Accommodation","SFR"}))</f>
        <v>2312976.568891678</v>
      </c>
      <c r="U957" s="530" t="s">
        <v>57</v>
      </c>
    </row>
    <row r="958" spans="1:21" ht="12.75" customHeight="1" x14ac:dyDescent="0.3">
      <c r="A958" s="530" t="str">
        <f t="shared" si="34"/>
        <v>North Wales.2017.Employment.Staying Visitor</v>
      </c>
      <c r="B958" s="530" t="s">
        <v>220</v>
      </c>
      <c r="C958" s="530" t="str">
        <f t="shared" si="35"/>
        <v>2017.Employment.Staying Visitor</v>
      </c>
      <c r="D958" s="530" t="s">
        <v>234</v>
      </c>
      <c r="E958" s="530" t="s">
        <v>20</v>
      </c>
      <c r="F958" s="530" t="s">
        <v>140</v>
      </c>
      <c r="G958" s="530" t="s">
        <v>140</v>
      </c>
      <c r="H958" s="530">
        <f>SUM(SUMIFS(H:H,$D:$D,$D958,$E:$E,$E958,$F:$F,{"Serviced Accommodation","Non-Serviced Accommodation","SFR"}))</f>
        <v>14685.34248675319</v>
      </c>
      <c r="I958" s="530">
        <f>SUM(SUMIFS(I:I,$D:$D,$D958,$E:$E,$E958,$F:$F,{"Serviced Accommodation","Non-Serviced Accommodation","SFR"}))</f>
        <v>15561.2842594261</v>
      </c>
      <c r="J958" s="530">
        <f>SUM(SUMIFS(J:J,$D:$D,$D958,$E:$E,$E958,$F:$F,{"Serviced Accommodation","Non-Serviced Accommodation","SFR"}))</f>
        <v>26506.63669940953</v>
      </c>
      <c r="K958" s="530">
        <f>SUM(SUMIFS(K:K,$D:$D,$D958,$E:$E,$E958,$F:$F,{"Serviced Accommodation","Non-Serviced Accommodation","SFR"}))</f>
        <v>30521.634928278887</v>
      </c>
      <c r="L958" s="530">
        <f>SUM(SUMIFS(L:L,$D:$D,$D958,$E:$E,$E958,$F:$F,{"Serviced Accommodation","Non-Serviced Accommodation","SFR"}))</f>
        <v>29978.945211884246</v>
      </c>
      <c r="M958" s="530">
        <f>SUM(SUMIFS(M:M,$D:$D,$D958,$E:$E,$E958,$F:$F,{"Serviced Accommodation","Non-Serviced Accommodation","SFR"}))</f>
        <v>33445.160240814614</v>
      </c>
      <c r="N958" s="530">
        <f>SUM(SUMIFS(N:N,$D:$D,$D958,$E:$E,$E958,$F:$F,{"Serviced Accommodation","Non-Serviced Accommodation","SFR"}))</f>
        <v>37581.357190523682</v>
      </c>
      <c r="O958" s="530">
        <f>SUM(SUMIFS(O:O,$D:$D,$D958,$E:$E,$E958,$F:$F,{"Serviced Accommodation","Non-Serviced Accommodation","SFR"}))</f>
        <v>40872.003739854168</v>
      </c>
      <c r="P958" s="530">
        <f>SUM(SUMIFS(P:P,$D:$D,$D958,$E:$E,$E958,$F:$F,{"Serviced Accommodation","Non-Serviced Accommodation","SFR"}))</f>
        <v>29874.424745917713</v>
      </c>
      <c r="Q958" s="530">
        <f>SUM(SUMIFS(Q:Q,$D:$D,$D958,$E:$E,$E958,$F:$F,{"Serviced Accommodation","Non-Serviced Accommodation","SFR"}))</f>
        <v>27665.191463471998</v>
      </c>
      <c r="R958" s="530">
        <f>SUM(SUMIFS(R:R,$D:$D,$D958,$E:$E,$E958,$F:$F,{"Serviced Accommodation","Non-Serviced Accommodation","SFR"}))</f>
        <v>18438.11209834283</v>
      </c>
      <c r="S958" s="530">
        <f>SUM(SUMIFS(S:S,$D:$D,$D958,$E:$E,$E958,$F:$F,{"Serviced Accommodation","Non-Serviced Accommodation","SFR"}))</f>
        <v>16598.138181612227</v>
      </c>
      <c r="T958" s="530">
        <f>SUM(SUMIFS(T:T,$D:$D,$D958,$E:$E,$E958,$F:$F,{"Serviced Accommodation","Non-Serviced Accommodation","SFR"}))</f>
        <v>26810.68593719077</v>
      </c>
      <c r="U958" s="530" t="s">
        <v>59</v>
      </c>
    </row>
    <row r="959" spans="1:21" ht="12.75" customHeight="1" x14ac:dyDescent="0.3">
      <c r="A959" s="530" t="str">
        <f t="shared" si="34"/>
        <v>North Wales.2017.Visitor Days.Staying Visitor</v>
      </c>
      <c r="B959" s="530" t="s">
        <v>220</v>
      </c>
      <c r="C959" s="530" t="str">
        <f t="shared" si="35"/>
        <v>2017.Visitor Days.Staying Visitor</v>
      </c>
      <c r="D959" s="530" t="s">
        <v>234</v>
      </c>
      <c r="E959" s="530" t="s">
        <v>171</v>
      </c>
      <c r="F959" s="530" t="s">
        <v>140</v>
      </c>
      <c r="G959" s="530" t="s">
        <v>140</v>
      </c>
      <c r="H959" s="530">
        <f>SUM(SUMIFS(H:H,$D:$D,$D959,$E:$E,$E959,$F:$F,{"Serviced Accommodation","Non-Serviced Accommodation","SFR"}))</f>
        <v>1279.1040239851895</v>
      </c>
      <c r="I959" s="530">
        <f>SUM(SUMIFS(I:I,$D:$D,$D959,$E:$E,$E959,$F:$F,{"Serviced Accommodation","Non-Serviced Accommodation","SFR"}))</f>
        <v>1405.5549406140817</v>
      </c>
      <c r="J959" s="530">
        <f>SUM(SUMIFS(J:J,$D:$D,$D959,$E:$E,$E959,$F:$F,{"Serviced Accommodation","Non-Serviced Accommodation","SFR"}))</f>
        <v>3748.3557635950988</v>
      </c>
      <c r="K959" s="530">
        <f>SUM(SUMIFS(K:K,$D:$D,$D959,$E:$E,$E959,$F:$F,{"Serviced Accommodation","Non-Serviced Accommodation","SFR"}))</f>
        <v>4689.5211305320763</v>
      </c>
      <c r="L959" s="530">
        <f>SUM(SUMIFS(L:L,$D:$D,$D959,$E:$E,$E959,$F:$F,{"Serviced Accommodation","Non-Serviced Accommodation","SFR"}))</f>
        <v>4658.2709040652435</v>
      </c>
      <c r="M959" s="530">
        <f>SUM(SUMIFS(M:M,$D:$D,$D959,$E:$E,$E959,$F:$F,{"Serviced Accommodation","Non-Serviced Accommodation","SFR"}))</f>
        <v>5361.2227524171358</v>
      </c>
      <c r="N959" s="530">
        <f>SUM(SUMIFS(N:N,$D:$D,$D959,$E:$E,$E959,$F:$F,{"Serviced Accommodation","Non-Serviced Accommodation","SFR"}))</f>
        <v>6471.1933020479992</v>
      </c>
      <c r="O959" s="530">
        <f>SUM(SUMIFS(O:O,$D:$D,$D959,$E:$E,$E959,$F:$F,{"Serviced Accommodation","Non-Serviced Accommodation","SFR"}))</f>
        <v>6765.9815090645825</v>
      </c>
      <c r="P959" s="530">
        <f>SUM(SUMIFS(P:P,$D:$D,$D959,$E:$E,$E959,$F:$F,{"Serviced Accommodation","Non-Serviced Accommodation","SFR"}))</f>
        <v>4618.8990021660929</v>
      </c>
      <c r="Q959" s="530">
        <f>SUM(SUMIFS(Q:Q,$D:$D,$D959,$E:$E,$E959,$F:$F,{"Serviced Accommodation","Non-Serviced Accommodation","SFR"}))</f>
        <v>4128.1637837805119</v>
      </c>
      <c r="R959" s="530">
        <f>SUM(SUMIFS(R:R,$D:$D,$D959,$E:$E,$E959,$F:$F,{"Serviced Accommodation","Non-Serviced Accommodation","SFR"}))</f>
        <v>2053.4611928643731</v>
      </c>
      <c r="S959" s="530">
        <f>SUM(SUMIFS(S:S,$D:$D,$D959,$E:$E,$E959,$F:$F,{"Serviced Accommodation","Non-Serviced Accommodation","SFR"}))</f>
        <v>1653.9774291676019</v>
      </c>
      <c r="T959" s="530">
        <f>SUM(SUMIFS(T:T,$D:$D,$D959,$E:$E,$E959,$F:$F,{"Serviced Accommodation","Non-Serviced Accommodation","SFR"}))</f>
        <v>46833.705734299991</v>
      </c>
      <c r="U959" s="530" t="s">
        <v>61</v>
      </c>
    </row>
    <row r="960" spans="1:21" ht="12.75" customHeight="1" x14ac:dyDescent="0.3">
      <c r="A960" s="530" t="str">
        <f t="shared" si="34"/>
        <v>North Wales.2017.Visitor Numbers.Staying Visitor</v>
      </c>
      <c r="B960" s="530" t="s">
        <v>220</v>
      </c>
      <c r="C960" s="530" t="str">
        <f t="shared" si="35"/>
        <v>2017.Visitor Numbers.Staying Visitor</v>
      </c>
      <c r="D960" s="530" t="s">
        <v>234</v>
      </c>
      <c r="E960" s="530" t="s">
        <v>172</v>
      </c>
      <c r="F960" s="530" t="s">
        <v>140</v>
      </c>
      <c r="G960" s="530" t="s">
        <v>140</v>
      </c>
      <c r="H960" s="530">
        <f>SUM(SUMIFS(H:H,$D:$D,$D960,$E:$E,$E960,$F:$F,{"Serviced Accommodation","Non-Serviced Accommodation","SFR"}))</f>
        <v>499.37016573480588</v>
      </c>
      <c r="I960" s="530">
        <f>SUM(SUMIFS(I:I,$D:$D,$D960,$E:$E,$E960,$F:$F,{"Serviced Accommodation","Non-Serviced Accommodation","SFR"}))</f>
        <v>509.20337902154614</v>
      </c>
      <c r="J960" s="530">
        <f>SUM(SUMIFS(J:J,$D:$D,$D960,$E:$E,$E960,$F:$F,{"Serviced Accommodation","Non-Serviced Accommodation","SFR"}))</f>
        <v>907.67822308602558</v>
      </c>
      <c r="K960" s="530">
        <f>SUM(SUMIFS(K:K,$D:$D,$D960,$E:$E,$E960,$F:$F,{"Serviced Accommodation","Non-Serviced Accommodation","SFR"}))</f>
        <v>966.11697513704109</v>
      </c>
      <c r="L960" s="530">
        <f>SUM(SUMIFS(L:L,$D:$D,$D960,$E:$E,$E960,$F:$F,{"Serviced Accommodation","Non-Serviced Accommodation","SFR"}))</f>
        <v>914.42450754191145</v>
      </c>
      <c r="M960" s="530">
        <f>SUM(SUMIFS(M:M,$D:$D,$D960,$E:$E,$E960,$F:$F,{"Serviced Accommodation","Non-Serviced Accommodation","SFR"}))</f>
        <v>1003.0119895289156</v>
      </c>
      <c r="N960" s="530">
        <f>SUM(SUMIFS(N:N,$D:$D,$D960,$E:$E,$E960,$F:$F,{"Serviced Accommodation","Non-Serviced Accommodation","SFR"}))</f>
        <v>1195.5075689059133</v>
      </c>
      <c r="O960" s="530">
        <f>SUM(SUMIFS(O:O,$D:$D,$D960,$E:$E,$E960,$F:$F,{"Serviced Accommodation","Non-Serviced Accommodation","SFR"}))</f>
        <v>1184.1002020117016</v>
      </c>
      <c r="P960" s="530">
        <f>SUM(SUMIFS(P:P,$D:$D,$D960,$E:$E,$E960,$F:$F,{"Serviced Accommodation","Non-Serviced Accommodation","SFR"}))</f>
        <v>875.71547874817873</v>
      </c>
      <c r="Q960" s="530">
        <f>SUM(SUMIFS(Q:Q,$D:$D,$D960,$E:$E,$E960,$F:$F,{"Serviced Accommodation","Non-Serviced Accommodation","SFR"}))</f>
        <v>790.31584103095474</v>
      </c>
      <c r="R960" s="530">
        <f>SUM(SUMIFS(R:R,$D:$D,$D960,$E:$E,$E960,$F:$F,{"Serviced Accommodation","Non-Serviced Accommodation","SFR"}))</f>
        <v>593.61594824193105</v>
      </c>
      <c r="S960" s="530">
        <f>SUM(SUMIFS(S:S,$D:$D,$D960,$E:$E,$E960,$F:$F,{"Serviced Accommodation","Non-Serviced Accommodation","SFR"}))</f>
        <v>475.00183099107392</v>
      </c>
      <c r="T960" s="530">
        <f>SUM(SUMIFS(T:T,$D:$D,$D960,$E:$E,$E960,$F:$F,{"Serviced Accommodation","Non-Serviced Accommodation","SFR"}))</f>
        <v>9914.062109980001</v>
      </c>
      <c r="U960" s="530" t="s">
        <v>61</v>
      </c>
    </row>
    <row r="961" spans="1:21" ht="12.75" customHeight="1" x14ac:dyDescent="0.3">
      <c r="A961" s="530" t="str">
        <f t="shared" si="34"/>
        <v>North Wales.2017.Vehicle Days.Staying Visitor</v>
      </c>
      <c r="B961" s="530" t="s">
        <v>220</v>
      </c>
      <c r="C961" s="530" t="str">
        <f t="shared" si="35"/>
        <v>2017.Vehicle Days.Staying Visitor</v>
      </c>
      <c r="D961" s="530" t="s">
        <v>234</v>
      </c>
      <c r="E961" s="530" t="s">
        <v>21</v>
      </c>
      <c r="F961" s="530" t="s">
        <v>140</v>
      </c>
      <c r="G961" s="530" t="s">
        <v>140</v>
      </c>
      <c r="H961" s="530">
        <f>SUM(SUMIFS(H:H,$D:$D,$D961,$E:$E,$E961,$F:$F,{"Serviced Accommodation","Non-Serviced Accommodation","SFR"}))</f>
        <v>348.1015127832448</v>
      </c>
      <c r="I961" s="530">
        <f>SUM(SUMIFS(I:I,$D:$D,$D961,$E:$E,$E961,$F:$F,{"Serviced Accommodation","Non-Serviced Accommodation","SFR"}))</f>
        <v>434.96535122967362</v>
      </c>
      <c r="J961" s="530">
        <f>SUM(SUMIFS(J:J,$D:$D,$D961,$E:$E,$E961,$F:$F,{"Serviced Accommodation","Non-Serviced Accommodation","SFR"}))</f>
        <v>1049.3561716153217</v>
      </c>
      <c r="K961" s="530">
        <f>SUM(SUMIFS(K:K,$D:$D,$D961,$E:$E,$E961,$F:$F,{"Serviced Accommodation","Non-Serviced Accommodation","SFR"}))</f>
        <v>1237.8860737927903</v>
      </c>
      <c r="L961" s="530">
        <f>SUM(SUMIFS(L:L,$D:$D,$D961,$E:$E,$E961,$F:$F,{"Serviced Accommodation","Non-Serviced Accommodation","SFR"}))</f>
        <v>1231.6875388007513</v>
      </c>
      <c r="M961" s="530">
        <f>SUM(SUMIFS(M:M,$D:$D,$D961,$E:$E,$E961,$F:$F,{"Serviced Accommodation","Non-Serviced Accommodation","SFR"}))</f>
        <v>1450.6005983059044</v>
      </c>
      <c r="N961" s="530">
        <f>SUM(SUMIFS(N:N,$D:$D,$D961,$E:$E,$E961,$F:$F,{"Serviced Accommodation","Non-Serviced Accommodation","SFR"}))</f>
        <v>1674.8686147898038</v>
      </c>
      <c r="O961" s="530">
        <f>SUM(SUMIFS(O:O,$D:$D,$D961,$E:$E,$E961,$F:$F,{"Serviced Accommodation","Non-Serviced Accommodation","SFR"}))</f>
        <v>1721.876304000474</v>
      </c>
      <c r="P961" s="530">
        <f>SUM(SUMIFS(P:P,$D:$D,$D961,$E:$E,$E961,$F:$F,{"Serviced Accommodation","Non-Serviced Accommodation","SFR"}))</f>
        <v>1212.7898644455524</v>
      </c>
      <c r="Q961" s="530">
        <f>SUM(SUMIFS(Q:Q,$D:$D,$D961,$E:$E,$E961,$F:$F,{"Serviced Accommodation","Non-Serviced Accommodation","SFR"}))</f>
        <v>1081.3725003498612</v>
      </c>
      <c r="R961" s="530">
        <f>SUM(SUMIFS(R:R,$D:$D,$D961,$E:$E,$E961,$F:$F,{"Serviced Accommodation","Non-Serviced Accommodation","SFR"}))</f>
        <v>561.93275368227194</v>
      </c>
      <c r="S961" s="530">
        <f>SUM(SUMIFS(S:S,$D:$D,$D961,$E:$E,$E961,$F:$F,{"Serviced Accommodation","Non-Serviced Accommodation","SFR"}))</f>
        <v>433.90538768264832</v>
      </c>
      <c r="T961" s="530">
        <f>SUM(SUMIFS(T:T,$D:$D,$D961,$E:$E,$E961,$F:$F,{"Serviced Accommodation","Non-Serviced Accommodation","SFR"}))</f>
        <v>12439.342671478296</v>
      </c>
      <c r="U961" s="530" t="s">
        <v>61</v>
      </c>
    </row>
    <row r="962" spans="1:21" ht="12.75" customHeight="1" x14ac:dyDescent="0.3">
      <c r="A962" s="530" t="str">
        <f t="shared" si="34"/>
        <v>North Wales.2017.Vehicle Numbers.Staying Visitor</v>
      </c>
      <c r="B962" s="530" t="s">
        <v>220</v>
      </c>
      <c r="C962" s="530" t="str">
        <f t="shared" si="35"/>
        <v>2017.Vehicle Numbers.Staying Visitor</v>
      </c>
      <c r="D962" s="530" t="s">
        <v>234</v>
      </c>
      <c r="E962" s="530" t="s">
        <v>22</v>
      </c>
      <c r="F962" s="530" t="s">
        <v>140</v>
      </c>
      <c r="G962" s="530" t="s">
        <v>140</v>
      </c>
      <c r="H962" s="530">
        <f>SUM(SUMIFS(H:H,$D:$D,$D962,$E:$E,$E962,$F:$F,{"Serviced Accommodation","Non-Serviced Accommodation","SFR"}))</f>
        <v>136.23134480677555</v>
      </c>
      <c r="I962" s="530">
        <f>SUM(SUMIFS(I:I,$D:$D,$D962,$E:$E,$E962,$F:$F,{"Serviced Accommodation","Non-Serviced Accommodation","SFR"}))</f>
        <v>162.2749364190993</v>
      </c>
      <c r="J962" s="530">
        <f>SUM(SUMIFS(J:J,$D:$D,$D962,$E:$E,$E962,$F:$F,{"Serviced Accommodation","Non-Serviced Accommodation","SFR"}))</f>
        <v>262.51207229708496</v>
      </c>
      <c r="K962" s="530">
        <f>SUM(SUMIFS(K:K,$D:$D,$D962,$E:$E,$E962,$F:$F,{"Serviced Accommodation","Non-Serviced Accommodation","SFR"}))</f>
        <v>257.7474154239427</v>
      </c>
      <c r="L962" s="530">
        <f>SUM(SUMIFS(L:L,$D:$D,$D962,$E:$E,$E962,$F:$F,{"Serviced Accommodation","Non-Serviced Accommodation","SFR"}))</f>
        <v>247.36744133939592</v>
      </c>
      <c r="M962" s="530">
        <f>SUM(SUMIFS(M:M,$D:$D,$D962,$E:$E,$E962,$F:$F,{"Serviced Accommodation","Non-Serviced Accommodation","SFR"}))</f>
        <v>275.03856581500406</v>
      </c>
      <c r="N962" s="530">
        <f>SUM(SUMIFS(N:N,$D:$D,$D962,$E:$E,$E962,$F:$F,{"Serviced Accommodation","Non-Serviced Accommodation","SFR"}))</f>
        <v>313.34288271561491</v>
      </c>
      <c r="O962" s="530">
        <f>SUM(SUMIFS(O:O,$D:$D,$D962,$E:$E,$E962,$F:$F,{"Serviced Accommodation","Non-Serviced Accommodation","SFR"}))</f>
        <v>306.45044525461083</v>
      </c>
      <c r="P962" s="530">
        <f>SUM(SUMIFS(P:P,$D:$D,$D962,$E:$E,$E962,$F:$F,{"Serviced Accommodation","Non-Serviced Accommodation","SFR"}))</f>
        <v>232.07267873317568</v>
      </c>
      <c r="Q962" s="530">
        <f>SUM(SUMIFS(Q:Q,$D:$D,$D962,$E:$E,$E962,$F:$F,{"Serviced Accommodation","Non-Serviced Accommodation","SFR"}))</f>
        <v>215.4706601563559</v>
      </c>
      <c r="R962" s="530">
        <f>SUM(SUMIFS(R:R,$D:$D,$D962,$E:$E,$E962,$F:$F,{"Serviced Accommodation","Non-Serviced Accommodation","SFR"}))</f>
        <v>166.64361874780826</v>
      </c>
      <c r="S962" s="530">
        <f>SUM(SUMIFS(S:S,$D:$D,$D962,$E:$E,$E962,$F:$F,{"Serviced Accommodation","Non-Serviced Accommodation","SFR"}))</f>
        <v>127.62515986541204</v>
      </c>
      <c r="T962" s="530">
        <f>SUM(SUMIFS(T:T,$D:$D,$D962,$E:$E,$E962,$F:$F,{"Serviced Accommodation","Non-Serviced Accommodation","SFR"}))</f>
        <v>2702.7772215742798</v>
      </c>
      <c r="U962" s="530" t="s">
        <v>61</v>
      </c>
    </row>
    <row r="963" spans="1:21" ht="12.75" customHeight="1" x14ac:dyDescent="0.3">
      <c r="A963" s="530" t="str">
        <f t="shared" ref="A963:A974" si="36">B963&amp;"."&amp;D963&amp;"."&amp;E963&amp;"."&amp;F963</f>
        <v>North Wales.2018.Economic Impact.Staying Visitor</v>
      </c>
      <c r="B963" s="530" t="s">
        <v>220</v>
      </c>
      <c r="C963" s="530" t="str">
        <f t="shared" ref="C963:C974" si="37">D963&amp;"."&amp;E963&amp;"."&amp;F963</f>
        <v>2018.Economic Impact.Staying Visitor</v>
      </c>
      <c r="D963" s="530" t="s">
        <v>244</v>
      </c>
      <c r="E963" s="530" t="s">
        <v>17</v>
      </c>
      <c r="F963" s="530" t="s">
        <v>140</v>
      </c>
      <c r="G963" s="530" t="s">
        <v>140</v>
      </c>
      <c r="H963" s="530">
        <f>SUM(SUMIFS(H:H,$D:$D,$D963,$E:$E,$E963,$F:$F,{"Serviced Accommodation","Non-Serviced Accommodation","SFR"}))</f>
        <v>72647.588565672588</v>
      </c>
      <c r="I963" s="530">
        <f>SUM(SUMIFS(I:I,$D:$D,$D963,$E:$E,$E963,$F:$F,{"Serviced Accommodation","Non-Serviced Accommodation","SFR"}))</f>
        <v>82854.603731711992</v>
      </c>
      <c r="J963" s="530">
        <f>SUM(SUMIFS(J:J,$D:$D,$D963,$E:$E,$E963,$F:$F,{"Serviced Accommodation","Non-Serviced Accommodation","SFR"}))</f>
        <v>193392.50088039765</v>
      </c>
      <c r="K963" s="530">
        <f>SUM(SUMIFS(K:K,$D:$D,$D963,$E:$E,$E963,$F:$F,{"Serviced Accommodation","Non-Serviced Accommodation","SFR"}))</f>
        <v>216359.52787038984</v>
      </c>
      <c r="L963" s="530">
        <f>SUM(SUMIFS(L:L,$D:$D,$D963,$E:$E,$E963,$F:$F,{"Serviced Accommodation","Non-Serviced Accommodation","SFR"}))</f>
        <v>248485.91638961493</v>
      </c>
      <c r="M963" s="530">
        <f>SUM(SUMIFS(M:M,$D:$D,$D963,$E:$E,$E963,$F:$F,{"Serviced Accommodation","Non-Serviced Accommodation","SFR"}))</f>
        <v>274196.21655193559</v>
      </c>
      <c r="N963" s="530">
        <f>SUM(SUMIFS(N:N,$D:$D,$D963,$E:$E,$E963,$F:$F,{"Serviced Accommodation","Non-Serviced Accommodation","SFR"}))</f>
        <v>357730.5615084712</v>
      </c>
      <c r="O963" s="530">
        <f>SUM(SUMIFS(O:O,$D:$D,$D963,$E:$E,$E963,$F:$F,{"Serviced Accommodation","Non-Serviced Accommodation","SFR"}))</f>
        <v>381660.87146070442</v>
      </c>
      <c r="P963" s="530">
        <f>SUM(SUMIFS(P:P,$D:$D,$D963,$E:$E,$E963,$F:$F,{"Serviced Accommodation","Non-Serviced Accommodation","SFR"}))</f>
        <v>279370.64571907581</v>
      </c>
      <c r="Q963" s="530">
        <f>SUM(SUMIFS(Q:Q,$D:$D,$D963,$E:$E,$E963,$F:$F,{"Serviced Accommodation","Non-Serviced Accommodation","SFR"}))</f>
        <v>211972.0138201667</v>
      </c>
      <c r="R963" s="530">
        <f>SUM(SUMIFS(R:R,$D:$D,$D963,$E:$E,$E963,$F:$F,{"Serviced Accommodation","Non-Serviced Accommodation","SFR"}))</f>
        <v>117168.23388957277</v>
      </c>
      <c r="S963" s="530">
        <f>SUM(SUMIFS(S:S,$D:$D,$D963,$E:$E,$E963,$F:$F,{"Serviced Accommodation","Non-Serviced Accommodation","SFR"}))</f>
        <v>89081.580451998045</v>
      </c>
      <c r="T963" s="530">
        <f>SUM(SUMIFS(T:T,$D:$D,$D963,$E:$E,$E963,$F:$F,{"Serviced Accommodation","Non-Serviced Accommodation","SFR"}))</f>
        <v>2524920.2608397114</v>
      </c>
      <c r="U963" s="530" t="s">
        <v>57</v>
      </c>
    </row>
    <row r="964" spans="1:21" ht="12.75" customHeight="1" x14ac:dyDescent="0.3">
      <c r="A964" s="530" t="str">
        <f t="shared" si="36"/>
        <v>North Wales.2018.Employment.Staying Visitor</v>
      </c>
      <c r="B964" s="530" t="s">
        <v>220</v>
      </c>
      <c r="C964" s="530" t="str">
        <f t="shared" si="37"/>
        <v>2018.Employment.Staying Visitor</v>
      </c>
      <c r="D964" s="530" t="s">
        <v>244</v>
      </c>
      <c r="E964" s="530" t="s">
        <v>20</v>
      </c>
      <c r="F964" s="530" t="s">
        <v>140</v>
      </c>
      <c r="G964" s="530" t="s">
        <v>140</v>
      </c>
      <c r="H964" s="530">
        <f>SUM(SUMIFS(H:H,$D:$D,$D964,$E:$E,$E964,$F:$F,{"Serviced Accommodation","Non-Serviced Accommodation","SFR"}))</f>
        <v>15800.586411533082</v>
      </c>
      <c r="I964" s="530">
        <f>SUM(SUMIFS(I:I,$D:$D,$D964,$E:$E,$E964,$F:$F,{"Serviced Accommodation","Non-Serviced Accommodation","SFR"}))</f>
        <v>16272.673008978965</v>
      </c>
      <c r="J964" s="530">
        <f>SUM(SUMIFS(J:J,$D:$D,$D964,$E:$E,$E964,$F:$F,{"Serviced Accommodation","Non-Serviced Accommodation","SFR"}))</f>
        <v>27786.198440317763</v>
      </c>
      <c r="K964" s="530">
        <f>SUM(SUMIFS(K:K,$D:$D,$D964,$E:$E,$E964,$F:$F,{"Serviced Accommodation","Non-Serviced Accommodation","SFR"}))</f>
        <v>30137.95903607734</v>
      </c>
      <c r="L964" s="530">
        <f>SUM(SUMIFS(L:L,$D:$D,$D964,$E:$E,$E964,$F:$F,{"Serviced Accommodation","Non-Serviced Accommodation","SFR"}))</f>
        <v>32716.041322188779</v>
      </c>
      <c r="M964" s="530">
        <f>SUM(SUMIFS(M:M,$D:$D,$D964,$E:$E,$E964,$F:$F,{"Serviced Accommodation","Non-Serviced Accommodation","SFR"}))</f>
        <v>35165.323591537708</v>
      </c>
      <c r="N964" s="530">
        <f>SUM(SUMIFS(N:N,$D:$D,$D964,$E:$E,$E964,$F:$F,{"Serviced Accommodation","Non-Serviced Accommodation","SFR"}))</f>
        <v>39051.027879456757</v>
      </c>
      <c r="O964" s="530">
        <f>SUM(SUMIFS(O:O,$D:$D,$D964,$E:$E,$E964,$F:$F,{"Serviced Accommodation","Non-Serviced Accommodation","SFR"}))</f>
        <v>43958.154904008152</v>
      </c>
      <c r="P964" s="530">
        <f>SUM(SUMIFS(P:P,$D:$D,$D964,$E:$E,$E964,$F:$F,{"Serviced Accommodation","Non-Serviced Accommodation","SFR"}))</f>
        <v>31288.047058154709</v>
      </c>
      <c r="Q964" s="530">
        <f>SUM(SUMIFS(Q:Q,$D:$D,$D964,$E:$E,$E964,$F:$F,{"Serviced Accommodation","Non-Serviced Accommodation","SFR"}))</f>
        <v>28858.126228492005</v>
      </c>
      <c r="R964" s="530">
        <f>SUM(SUMIFS(R:R,$D:$D,$D964,$E:$E,$E964,$F:$F,{"Serviced Accommodation","Non-Serviced Accommodation","SFR"}))</f>
        <v>19061.549455077991</v>
      </c>
      <c r="S964" s="530">
        <f>SUM(SUMIFS(S:S,$D:$D,$D964,$E:$E,$E964,$F:$F,{"Serviced Accommodation","Non-Serviced Accommodation","SFR"}))</f>
        <v>16686.462724108347</v>
      </c>
      <c r="T964" s="530">
        <f>SUM(SUMIFS(T:T,$D:$D,$D964,$E:$E,$E964,$F:$F,{"Serviced Accommodation","Non-Serviced Accommodation","SFR"}))</f>
        <v>28065.179171660962</v>
      </c>
      <c r="U964" s="530" t="s">
        <v>59</v>
      </c>
    </row>
    <row r="965" spans="1:21" ht="12.75" customHeight="1" x14ac:dyDescent="0.3">
      <c r="A965" s="530" t="str">
        <f t="shared" si="36"/>
        <v>North Wales.2018.Visitor Days.Staying Visitor</v>
      </c>
      <c r="B965" s="530" t="s">
        <v>220</v>
      </c>
      <c r="C965" s="530" t="str">
        <f t="shared" si="37"/>
        <v>2018.Visitor Days.Staying Visitor</v>
      </c>
      <c r="D965" s="530" t="s">
        <v>244</v>
      </c>
      <c r="E965" s="530" t="s">
        <v>171</v>
      </c>
      <c r="F965" s="530" t="s">
        <v>140</v>
      </c>
      <c r="G965" s="530" t="s">
        <v>140</v>
      </c>
      <c r="H965" s="530">
        <f>SUM(SUMIFS(H:H,$D:$D,$D965,$E:$E,$E965,$F:$F,{"Serviced Accommodation","Non-Serviced Accommodation","SFR"}))</f>
        <v>1296.8501795419984</v>
      </c>
      <c r="I965" s="530">
        <f>SUM(SUMIFS(I:I,$D:$D,$D965,$E:$E,$E965,$F:$F,{"Serviced Accommodation","Non-Serviced Accommodation","SFR"}))</f>
        <v>1359.4305585108882</v>
      </c>
      <c r="J965" s="530">
        <f>SUM(SUMIFS(J:J,$D:$D,$D965,$E:$E,$E965,$F:$F,{"Serviced Accommodation","Non-Serviced Accommodation","SFR"}))</f>
        <v>3859.5129555011272</v>
      </c>
      <c r="K965" s="530">
        <f>SUM(SUMIFS(K:K,$D:$D,$D965,$E:$E,$E965,$F:$F,{"Serviced Accommodation","Non-Serviced Accommodation","SFR"}))</f>
        <v>4475.6838716846523</v>
      </c>
      <c r="L965" s="530">
        <f>SUM(SUMIFS(L:L,$D:$D,$D965,$E:$E,$E965,$F:$F,{"Serviced Accommodation","Non-Serviced Accommodation","SFR"}))</f>
        <v>5086.7129094135871</v>
      </c>
      <c r="M965" s="530">
        <f>SUM(SUMIFS(M:M,$D:$D,$D965,$E:$E,$E965,$F:$F,{"Serviced Accommodation","Non-Serviced Accommodation","SFR"}))</f>
        <v>5583.4878717701722</v>
      </c>
      <c r="N965" s="530">
        <f>SUM(SUMIFS(N:N,$D:$D,$D965,$E:$E,$E965,$F:$F,{"Serviced Accommodation","Non-Serviced Accommodation","SFR"}))</f>
        <v>6653.9461399550046</v>
      </c>
      <c r="O965" s="530">
        <f>SUM(SUMIFS(O:O,$D:$D,$D965,$E:$E,$E965,$F:$F,{"Serviced Accommodation","Non-Serviced Accommodation","SFR"}))</f>
        <v>6922.1104798770948</v>
      </c>
      <c r="P965" s="530">
        <f>SUM(SUMIFS(P:P,$D:$D,$D965,$E:$E,$E965,$F:$F,{"Serviced Accommodation","Non-Serviced Accommodation","SFR"}))</f>
        <v>4777.6997317039159</v>
      </c>
      <c r="Q965" s="530">
        <f>SUM(SUMIFS(Q:Q,$D:$D,$D965,$E:$E,$E965,$F:$F,{"Serviced Accommodation","Non-Serviced Accommodation","SFR"}))</f>
        <v>4233.8079200585034</v>
      </c>
      <c r="R965" s="530">
        <f>SUM(SUMIFS(R:R,$D:$D,$D965,$E:$E,$E965,$F:$F,{"Serviced Accommodation","Non-Serviced Accommodation","SFR"}))</f>
        <v>2027.0553276965377</v>
      </c>
      <c r="S965" s="530">
        <f>SUM(SUMIFS(S:S,$D:$D,$D965,$E:$E,$E965,$F:$F,{"Serviced Accommodation","Non-Serviced Accommodation","SFR"}))</f>
        <v>1466.9358893239173</v>
      </c>
      <c r="T965" s="530">
        <f>SUM(SUMIFS(T:T,$D:$D,$D965,$E:$E,$E965,$F:$F,{"Serviced Accommodation","Non-Serviced Accommodation","SFR"}))</f>
        <v>47743.233835037405</v>
      </c>
      <c r="U965" s="530" t="s">
        <v>61</v>
      </c>
    </row>
    <row r="966" spans="1:21" ht="12.75" customHeight="1" x14ac:dyDescent="0.3">
      <c r="A966" s="530" t="str">
        <f t="shared" si="36"/>
        <v>North Wales.2018.Visitor Numbers.Staying Visitor</v>
      </c>
      <c r="B966" s="530" t="s">
        <v>220</v>
      </c>
      <c r="C966" s="530" t="str">
        <f t="shared" si="37"/>
        <v>2018.Visitor Numbers.Staying Visitor</v>
      </c>
      <c r="D966" s="530" t="s">
        <v>244</v>
      </c>
      <c r="E966" s="530" t="s">
        <v>172</v>
      </c>
      <c r="F966" s="530" t="s">
        <v>140</v>
      </c>
      <c r="G966" s="530" t="s">
        <v>140</v>
      </c>
      <c r="H966" s="530">
        <f>SUM(SUMIFS(H:H,$D:$D,$D966,$E:$E,$E966,$F:$F,{"Serviced Accommodation","Non-Serviced Accommodation","SFR"}))</f>
        <v>497.83656980943306</v>
      </c>
      <c r="I966" s="530">
        <f>SUM(SUMIFS(I:I,$D:$D,$D966,$E:$E,$E966,$F:$F,{"Serviced Accommodation","Non-Serviced Accommodation","SFR"}))</f>
        <v>491.13040022561324</v>
      </c>
      <c r="J966" s="530">
        <f>SUM(SUMIFS(J:J,$D:$D,$D966,$E:$E,$E966,$F:$F,{"Serviced Accommodation","Non-Serviced Accommodation","SFR"}))</f>
        <v>930.87045096283816</v>
      </c>
      <c r="K966" s="530">
        <f>SUM(SUMIFS(K:K,$D:$D,$D966,$E:$E,$E966,$F:$F,{"Serviced Accommodation","Non-Serviced Accommodation","SFR"}))</f>
        <v>920.36352214985584</v>
      </c>
      <c r="L966" s="530">
        <f>SUM(SUMIFS(L:L,$D:$D,$D966,$E:$E,$E966,$F:$F,{"Serviced Accommodation","Non-Serviced Accommodation","SFR"}))</f>
        <v>992.16528157264497</v>
      </c>
      <c r="M966" s="530">
        <f>SUM(SUMIFS(M:M,$D:$D,$D966,$E:$E,$E966,$F:$F,{"Serviced Accommodation","Non-Serviced Accommodation","SFR"}))</f>
        <v>1047.7141084990242</v>
      </c>
      <c r="N966" s="530">
        <f>SUM(SUMIFS(N:N,$D:$D,$D966,$E:$E,$E966,$F:$F,{"Serviced Accommodation","Non-Serviced Accommodation","SFR"}))</f>
        <v>1218.1419248995426</v>
      </c>
      <c r="O966" s="530">
        <f>SUM(SUMIFS(O:O,$D:$D,$D966,$E:$E,$E966,$F:$F,{"Serviced Accommodation","Non-Serviced Accommodation","SFR"}))</f>
        <v>1219.4310336775843</v>
      </c>
      <c r="P966" s="530">
        <f>SUM(SUMIFS(P:P,$D:$D,$D966,$E:$E,$E966,$F:$F,{"Serviced Accommodation","Non-Serviced Accommodation","SFR"}))</f>
        <v>909.88857065658533</v>
      </c>
      <c r="Q966" s="530">
        <f>SUM(SUMIFS(Q:Q,$D:$D,$D966,$E:$E,$E966,$F:$F,{"Serviced Accommodation","Non-Serviced Accommodation","SFR"}))</f>
        <v>812.74073976292323</v>
      </c>
      <c r="R966" s="530">
        <f>SUM(SUMIFS(R:R,$D:$D,$D966,$E:$E,$E966,$F:$F,{"Serviced Accommodation","Non-Serviced Accommodation","SFR"}))</f>
        <v>591.10761127111084</v>
      </c>
      <c r="S966" s="530">
        <f>SUM(SUMIFS(S:S,$D:$D,$D966,$E:$E,$E966,$F:$F,{"Serviced Accommodation","Non-Serviced Accommodation","SFR"}))</f>
        <v>447.99444278323597</v>
      </c>
      <c r="T966" s="530">
        <f>SUM(SUMIFS(T:T,$D:$D,$D966,$E:$E,$E966,$F:$F,{"Serviced Accommodation","Non-Serviced Accommodation","SFR"}))</f>
        <v>10079.384656270391</v>
      </c>
      <c r="U966" s="530" t="s">
        <v>61</v>
      </c>
    </row>
    <row r="967" spans="1:21" ht="12.75" customHeight="1" x14ac:dyDescent="0.3">
      <c r="A967" s="530" t="str">
        <f t="shared" si="36"/>
        <v>North Wales.2018.Vehicle Days.Staying Visitor</v>
      </c>
      <c r="B967" s="530" t="s">
        <v>220</v>
      </c>
      <c r="C967" s="530" t="str">
        <f t="shared" si="37"/>
        <v>2018.Vehicle Days.Staying Visitor</v>
      </c>
      <c r="D967" s="530" t="s">
        <v>244</v>
      </c>
      <c r="E967" s="530" t="s">
        <v>21</v>
      </c>
      <c r="F967" s="530" t="s">
        <v>140</v>
      </c>
      <c r="G967" s="530" t="s">
        <v>140</v>
      </c>
      <c r="H967" s="530">
        <f>SUM(SUMIFS(H:H,$D:$D,$D967,$E:$E,$E967,$F:$F,{"Serviced Accommodation","Non-Serviced Accommodation","SFR"}))</f>
        <v>354.5665769104117</v>
      </c>
      <c r="I967" s="530">
        <f>SUM(SUMIFS(I:I,$D:$D,$D967,$E:$E,$E967,$F:$F,{"Serviced Accommodation","Non-Serviced Accommodation","SFR"}))</f>
        <v>425.76210471003947</v>
      </c>
      <c r="J967" s="530">
        <f>SUM(SUMIFS(J:J,$D:$D,$D967,$E:$E,$E967,$F:$F,{"Serviced Accommodation","Non-Serviced Accommodation","SFR"}))</f>
        <v>1076.3063286605211</v>
      </c>
      <c r="K967" s="530">
        <f>SUM(SUMIFS(K:K,$D:$D,$D967,$E:$E,$E967,$F:$F,{"Serviced Accommodation","Non-Serviced Accommodation","SFR"}))</f>
        <v>1163.7087219891218</v>
      </c>
      <c r="L967" s="530">
        <f>SUM(SUMIFS(L:L,$D:$D,$D967,$E:$E,$E967,$F:$F,{"Serviced Accommodation","Non-Serviced Accommodation","SFR"}))</f>
        <v>1356.3584488175552</v>
      </c>
      <c r="M967" s="530">
        <f>SUM(SUMIFS(M:M,$D:$D,$D967,$E:$E,$E967,$F:$F,{"Serviced Accommodation","Non-Serviced Accommodation","SFR"}))</f>
        <v>1513.7208186874607</v>
      </c>
      <c r="N967" s="530">
        <f>SUM(SUMIFS(N:N,$D:$D,$D967,$E:$E,$E967,$F:$F,{"Serviced Accommodation","Non-Serviced Accommodation","SFR"}))</f>
        <v>1719.2374916524375</v>
      </c>
      <c r="O967" s="530">
        <f>SUM(SUMIFS(O:O,$D:$D,$D967,$E:$E,$E967,$F:$F,{"Serviced Accommodation","Non-Serviced Accommodation","SFR"}))</f>
        <v>1749.6878618596422</v>
      </c>
      <c r="P967" s="530">
        <f>SUM(SUMIFS(P:P,$D:$D,$D967,$E:$E,$E967,$F:$F,{"Serviced Accommodation","Non-Serviced Accommodation","SFR"}))</f>
        <v>1257.0191674761249</v>
      </c>
      <c r="Q967" s="530">
        <f>SUM(SUMIFS(Q:Q,$D:$D,$D967,$E:$E,$E967,$F:$F,{"Serviced Accommodation","Non-Serviced Accommodation","SFR"}))</f>
        <v>1103.2063348937745</v>
      </c>
      <c r="R967" s="530">
        <f>SUM(SUMIFS(R:R,$D:$D,$D967,$E:$E,$E967,$F:$F,{"Serviced Accommodation","Non-Serviced Accommodation","SFR"}))</f>
        <v>553.16997023843794</v>
      </c>
      <c r="S967" s="530">
        <f>SUM(SUMIFS(S:S,$D:$D,$D967,$E:$E,$E967,$F:$F,{"Serviced Accommodation","Non-Serviced Accommodation","SFR"}))</f>
        <v>381.8284809301644</v>
      </c>
      <c r="T967" s="530">
        <f>SUM(SUMIFS(T:T,$D:$D,$D967,$E:$E,$E967,$F:$F,{"Serviced Accommodation","Non-Serviced Accommodation","SFR"}))</f>
        <v>12654.572306825688</v>
      </c>
      <c r="U967" s="530" t="s">
        <v>61</v>
      </c>
    </row>
    <row r="968" spans="1:21" ht="12.75" customHeight="1" x14ac:dyDescent="0.3">
      <c r="A968" s="530" t="str">
        <f t="shared" si="36"/>
        <v>North Wales.2018.Vehicle Numbers.Staying Visitor</v>
      </c>
      <c r="B968" s="530" t="s">
        <v>220</v>
      </c>
      <c r="C968" s="530" t="str">
        <f t="shared" si="37"/>
        <v>2018.Vehicle Numbers.Staying Visitor</v>
      </c>
      <c r="D968" s="530" t="s">
        <v>244</v>
      </c>
      <c r="E968" s="530" t="s">
        <v>22</v>
      </c>
      <c r="F968" s="530" t="s">
        <v>140</v>
      </c>
      <c r="G968" s="530" t="s">
        <v>140</v>
      </c>
      <c r="H968" s="530">
        <f>SUM(SUMIFS(H:H,$D:$D,$D968,$E:$E,$E968,$F:$F,{"Serviced Accommodation","Non-Serviced Accommodation","SFR"}))</f>
        <v>136.26042683163661</v>
      </c>
      <c r="I968" s="530">
        <f>SUM(SUMIFS(I:I,$D:$D,$D968,$E:$E,$E968,$F:$F,{"Serviced Accommodation","Non-Serviced Accommodation","SFR"}))</f>
        <v>157.57212380590687</v>
      </c>
      <c r="J968" s="530">
        <f>SUM(SUMIFS(J:J,$D:$D,$D968,$E:$E,$E968,$F:$F,{"Serviced Accommodation","Non-Serviced Accommodation","SFR"}))</f>
        <v>267.85961930959678</v>
      </c>
      <c r="K968" s="530">
        <f>SUM(SUMIFS(K:K,$D:$D,$D968,$E:$E,$E968,$F:$F,{"Serviced Accommodation","Non-Serviced Accommodation","SFR"}))</f>
        <v>242.73046058120428</v>
      </c>
      <c r="L968" s="530">
        <f>SUM(SUMIFS(L:L,$D:$D,$D968,$E:$E,$E968,$F:$F,{"Serviced Accommodation","Non-Serviced Accommodation","SFR"}))</f>
        <v>269.96876406101353</v>
      </c>
      <c r="M968" s="530">
        <f>SUM(SUMIFS(M:M,$D:$D,$D968,$E:$E,$E968,$F:$F,{"Serviced Accommodation","Non-Serviced Accommodation","SFR"}))</f>
        <v>287.67168275884273</v>
      </c>
      <c r="N968" s="530">
        <f>SUM(SUMIFS(N:N,$D:$D,$D968,$E:$E,$E968,$F:$F,{"Serviced Accommodation","Non-Serviced Accommodation","SFR"}))</f>
        <v>318.55777114866379</v>
      </c>
      <c r="O968" s="530">
        <f>SUM(SUMIFS(O:O,$D:$D,$D968,$E:$E,$E968,$F:$F,{"Serviced Accommodation","Non-Serviced Accommodation","SFR"}))</f>
        <v>313.88898709555752</v>
      </c>
      <c r="P968" s="530">
        <f>SUM(SUMIFS(P:P,$D:$D,$D968,$E:$E,$E968,$F:$F,{"Serviced Accommodation","Non-Serviced Accommodation","SFR"}))</f>
        <v>241.63770798121672</v>
      </c>
      <c r="Q968" s="530">
        <f>SUM(SUMIFS(Q:Q,$D:$D,$D968,$E:$E,$E968,$F:$F,{"Serviced Accommodation","Non-Serviced Accommodation","SFR"}))</f>
        <v>220.74669237739207</v>
      </c>
      <c r="R968" s="530">
        <f>SUM(SUMIFS(R:R,$D:$D,$D968,$E:$E,$E968,$F:$F,{"Serviced Accommodation","Non-Serviced Accommodation","SFR"}))</f>
        <v>165.68712414353047</v>
      </c>
      <c r="S968" s="530">
        <f>SUM(SUMIFS(S:S,$D:$D,$D968,$E:$E,$E968,$F:$F,{"Serviced Accommodation","Non-Serviced Accommodation","SFR"}))</f>
        <v>119.9278375093794</v>
      </c>
      <c r="T968" s="530">
        <f>SUM(SUMIFS(T:T,$D:$D,$D968,$E:$E,$E968,$F:$F,{"Serviced Accommodation","Non-Serviced Accommodation","SFR"}))</f>
        <v>2742.5091976039403</v>
      </c>
      <c r="U968" s="530" t="s">
        <v>61</v>
      </c>
    </row>
    <row r="969" spans="1:21" ht="12.75" customHeight="1" x14ac:dyDescent="0.3">
      <c r="A969" s="530" t="str">
        <f t="shared" si="36"/>
        <v>North Wales.2019.Economic Impact.Staying Visitor</v>
      </c>
      <c r="B969" s="530" t="s">
        <v>220</v>
      </c>
      <c r="C969" s="530" t="str">
        <f t="shared" si="37"/>
        <v>2019.Economic Impact.Staying Visitor</v>
      </c>
      <c r="D969" s="530" t="s">
        <v>245</v>
      </c>
      <c r="E969" s="530" t="s">
        <v>17</v>
      </c>
      <c r="F969" s="530" t="s">
        <v>140</v>
      </c>
      <c r="G969" s="530" t="s">
        <v>140</v>
      </c>
      <c r="H969" s="530">
        <f>SUM(SUMIFS(H:H,$D:$D,$D969,$E:$E,$E969,$F:$F,{"Serviced Accommodation","Non-Serviced Accommodation","SFR"}))</f>
        <v>89915.868214292699</v>
      </c>
      <c r="I969" s="530">
        <f>SUM(SUMIFS(I:I,$D:$D,$D969,$E:$E,$E969,$F:$F,{"Serviced Accommodation","Non-Serviced Accommodation","SFR"}))</f>
        <v>88797.581836717407</v>
      </c>
      <c r="J969" s="530">
        <f>SUM(SUMIFS(J:J,$D:$D,$D969,$E:$E,$E969,$F:$F,{"Serviced Accommodation","Non-Serviced Accommodation","SFR"}))</f>
        <v>211898.89601228075</v>
      </c>
      <c r="K969" s="530">
        <f>SUM(SUMIFS(K:K,$D:$D,$D969,$E:$E,$E969,$F:$F,{"Serviced Accommodation","Non-Serviced Accommodation","SFR"}))</f>
        <v>247686.57068413368</v>
      </c>
      <c r="L969" s="530">
        <f>SUM(SUMIFS(L:L,$D:$D,$D969,$E:$E,$E969,$F:$F,{"Serviced Accommodation","Non-Serviced Accommodation","SFR"}))</f>
        <v>272148.1074102071</v>
      </c>
      <c r="M969" s="530">
        <f>SUM(SUMIFS(M:M,$D:$D,$D969,$E:$E,$E969,$F:$F,{"Serviced Accommodation","Non-Serviced Accommodation","SFR"}))</f>
        <v>288492.30808559945</v>
      </c>
      <c r="N969" s="530">
        <f>SUM(SUMIFS(N:N,$D:$D,$D969,$E:$E,$E969,$F:$F,{"Serviced Accommodation","Non-Serviced Accommodation","SFR"}))</f>
        <v>383737.59009223868</v>
      </c>
      <c r="O969" s="530">
        <f>SUM(SUMIFS(O:O,$D:$D,$D969,$E:$E,$E969,$F:$F,{"Serviced Accommodation","Non-Serviced Accommodation","SFR"}))</f>
        <v>407737.95543162577</v>
      </c>
      <c r="P969" s="530">
        <f>SUM(SUMIFS(P:P,$D:$D,$D969,$E:$E,$E969,$F:$F,{"Serviced Accommodation","Non-Serviced Accommodation","SFR"}))</f>
        <v>307364.05524797674</v>
      </c>
      <c r="Q969" s="530">
        <f>SUM(SUMIFS(Q:Q,$D:$D,$D969,$E:$E,$E969,$F:$F,{"Serviced Accommodation","Non-Serviced Accommodation","SFR"}))</f>
        <v>232152.24592252926</v>
      </c>
      <c r="R969" s="530">
        <f>SUM(SUMIFS(R:R,$D:$D,$D969,$E:$E,$E969,$F:$F,{"Serviced Accommodation","Non-Serviced Accommodation","SFR"}))</f>
        <v>128788.92341036223</v>
      </c>
      <c r="S969" s="530">
        <f>SUM(SUMIFS(S:S,$D:$D,$D969,$E:$E,$E969,$F:$F,{"Serviced Accommodation","Non-Serviced Accommodation","SFR"}))</f>
        <v>118691.38867079891</v>
      </c>
      <c r="T969" s="530">
        <f>SUM(SUMIFS(T:T,$D:$D,$D969,$E:$E,$E969,$F:$F,{"Serviced Accommodation","Non-Serviced Accommodation","SFR"}))</f>
        <v>2777411.4910187628</v>
      </c>
      <c r="U969" s="530" t="s">
        <v>57</v>
      </c>
    </row>
    <row r="970" spans="1:21" ht="12.75" customHeight="1" x14ac:dyDescent="0.3">
      <c r="A970" s="530" t="str">
        <f t="shared" si="36"/>
        <v>North Wales.2019.Employment.Staying Visitor</v>
      </c>
      <c r="B970" s="530" t="s">
        <v>220</v>
      </c>
      <c r="C970" s="530" t="str">
        <f t="shared" si="37"/>
        <v>2019.Employment.Staying Visitor</v>
      </c>
      <c r="D970" s="530" t="s">
        <v>245</v>
      </c>
      <c r="E970" s="530" t="s">
        <v>20</v>
      </c>
      <c r="F970" s="530" t="s">
        <v>140</v>
      </c>
      <c r="G970" s="530" t="s">
        <v>140</v>
      </c>
      <c r="H970" s="530">
        <f>SUM(SUMIFS(H:H,$D:$D,$D970,$E:$E,$E970,$F:$F,{"Serviced Accommodation","Non-Serviced Accommodation","SFR"}))</f>
        <v>16893.684315164544</v>
      </c>
      <c r="I970" s="530">
        <f>SUM(SUMIFS(I:I,$D:$D,$D970,$E:$E,$E970,$F:$F,{"Serviced Accommodation","Non-Serviced Accommodation","SFR"}))</f>
        <v>16678.111533296989</v>
      </c>
      <c r="J970" s="530">
        <f>SUM(SUMIFS(J:J,$D:$D,$D970,$E:$E,$E970,$F:$F,{"Serviced Accommodation","Non-Serviced Accommodation","SFR"}))</f>
        <v>29063.719631696858</v>
      </c>
      <c r="K970" s="530">
        <f>SUM(SUMIFS(K:K,$D:$D,$D970,$E:$E,$E970,$F:$F,{"Serviced Accommodation","Non-Serviced Accommodation","SFR"}))</f>
        <v>31596.225813947691</v>
      </c>
      <c r="L970" s="530">
        <f>SUM(SUMIFS(L:L,$D:$D,$D970,$E:$E,$E970,$F:$F,{"Serviced Accommodation","Non-Serviced Accommodation","SFR"}))</f>
        <v>33710.667853481849</v>
      </c>
      <c r="M970" s="530">
        <f>SUM(SUMIFS(M:M,$D:$D,$D970,$E:$E,$E970,$F:$F,{"Serviced Accommodation","Non-Serviced Accommodation","SFR"}))</f>
        <v>34826.689603014747</v>
      </c>
      <c r="N970" s="530">
        <f>SUM(SUMIFS(N:N,$D:$D,$D970,$E:$E,$E970,$F:$F,{"Serviced Accommodation","Non-Serviced Accommodation","SFR"}))</f>
        <v>39568.155228368603</v>
      </c>
      <c r="O970" s="530">
        <f>SUM(SUMIFS(O:O,$D:$D,$D970,$E:$E,$E970,$F:$F,{"Serviced Accommodation","Non-Serviced Accommodation","SFR"}))</f>
        <v>43501.056501895218</v>
      </c>
      <c r="P970" s="530">
        <f>SUM(SUMIFS(P:P,$D:$D,$D970,$E:$E,$E970,$F:$F,{"Serviced Accommodation","Non-Serviced Accommodation","SFR"}))</f>
        <v>32669.030302951251</v>
      </c>
      <c r="Q970" s="530">
        <f>SUM(SUMIFS(Q:Q,$D:$D,$D970,$E:$E,$E970,$F:$F,{"Serviced Accommodation","Non-Serviced Accommodation","SFR"}))</f>
        <v>30366.268047718768</v>
      </c>
      <c r="R970" s="530">
        <f>SUM(SUMIFS(R:R,$D:$D,$D970,$E:$E,$E970,$F:$F,{"Serviced Accommodation","Non-Serviced Accommodation","SFR"}))</f>
        <v>19593.108596221486</v>
      </c>
      <c r="S970" s="530">
        <f>SUM(SUMIFS(S:S,$D:$D,$D970,$E:$E,$E970,$F:$F,{"Serviced Accommodation","Non-Serviced Accommodation","SFR"}))</f>
        <v>18323.637207930453</v>
      </c>
      <c r="T970" s="530">
        <f>SUM(SUMIFS(T:T,$D:$D,$D970,$E:$E,$E970,$F:$F,{"Serviced Accommodation","Non-Serviced Accommodation","SFR"}))</f>
        <v>28899.196219640704</v>
      </c>
      <c r="U970" s="530" t="s">
        <v>59</v>
      </c>
    </row>
    <row r="971" spans="1:21" ht="12.75" customHeight="1" x14ac:dyDescent="0.3">
      <c r="A971" s="530" t="str">
        <f t="shared" si="36"/>
        <v>North Wales.2019.Visitor Days.Staying Visitor</v>
      </c>
      <c r="B971" s="530" t="s">
        <v>220</v>
      </c>
      <c r="C971" s="530" t="str">
        <f t="shared" si="37"/>
        <v>2019.Visitor Days.Staying Visitor</v>
      </c>
      <c r="D971" s="530" t="s">
        <v>245</v>
      </c>
      <c r="E971" s="530" t="s">
        <v>171</v>
      </c>
      <c r="F971" s="530" t="s">
        <v>140</v>
      </c>
      <c r="G971" s="530" t="s">
        <v>140</v>
      </c>
      <c r="H971" s="530">
        <f>SUM(SUMIFS(H:H,$D:$D,$D971,$E:$E,$E971,$F:$F,{"Serviced Accommodation","Non-Serviced Accommodation","SFR"}))</f>
        <v>1489.4894366261021</v>
      </c>
      <c r="I971" s="530">
        <f>SUM(SUMIFS(I:I,$D:$D,$D971,$E:$E,$E971,$F:$F,{"Serviced Accommodation","Non-Serviced Accommodation","SFR"}))</f>
        <v>1416.125714722458</v>
      </c>
      <c r="J971" s="530">
        <f>SUM(SUMIFS(J:J,$D:$D,$D971,$E:$E,$E971,$F:$F,{"Serviced Accommodation","Non-Serviced Accommodation","SFR"}))</f>
        <v>3998.3964063884541</v>
      </c>
      <c r="K971" s="530">
        <f>SUM(SUMIFS(K:K,$D:$D,$D971,$E:$E,$E971,$F:$F,{"Serviced Accommodation","Non-Serviced Accommodation","SFR"}))</f>
        <v>4713.4585101053617</v>
      </c>
      <c r="L971" s="530">
        <f>SUM(SUMIFS(L:L,$D:$D,$D971,$E:$E,$E971,$F:$F,{"Serviced Accommodation","Non-Serviced Accommodation","SFR"}))</f>
        <v>5230.8718072627635</v>
      </c>
      <c r="M971" s="530">
        <f>SUM(SUMIFS(M:M,$D:$D,$D971,$E:$E,$E971,$F:$F,{"Serviced Accommodation","Non-Serviced Accommodation","SFR"}))</f>
        <v>5457.5487001840138</v>
      </c>
      <c r="N971" s="530">
        <f>SUM(SUMIFS(N:N,$D:$D,$D971,$E:$E,$E971,$F:$F,{"Serviced Accommodation","Non-Serviced Accommodation","SFR"}))</f>
        <v>6669.2904493526603</v>
      </c>
      <c r="O971" s="530">
        <f>SUM(SUMIFS(O:O,$D:$D,$D971,$E:$E,$E971,$F:$F,{"Serviced Accommodation","Non-Serviced Accommodation","SFR"}))</f>
        <v>6941.9142410102468</v>
      </c>
      <c r="P971" s="530">
        <f>SUM(SUMIFS(P:P,$D:$D,$D971,$E:$E,$E971,$F:$F,{"Serviced Accommodation","Non-Serviced Accommodation","SFR"}))</f>
        <v>4984.2297751556262</v>
      </c>
      <c r="Q971" s="530">
        <f>SUM(SUMIFS(Q:Q,$D:$D,$D971,$E:$E,$E971,$F:$F,{"Serviced Accommodation","Non-Serviced Accommodation","SFR"}))</f>
        <v>4475.1624634666132</v>
      </c>
      <c r="R971" s="530">
        <f>SUM(SUMIFS(R:R,$D:$D,$D971,$E:$E,$E971,$F:$F,{"Serviced Accommodation","Non-Serviced Accommodation","SFR"}))</f>
        <v>2113.5414239690367</v>
      </c>
      <c r="S971" s="530">
        <f>SUM(SUMIFS(S:S,$D:$D,$D971,$E:$E,$E971,$F:$F,{"Serviced Accommodation","Non-Serviced Accommodation","SFR"}))</f>
        <v>1844.0506891780544</v>
      </c>
      <c r="T971" s="530">
        <f>SUM(SUMIFS(T:T,$D:$D,$D971,$E:$E,$E971,$F:$F,{"Serviced Accommodation","Non-Serviced Accommodation","SFR"}))</f>
        <v>49334.07961742139</v>
      </c>
      <c r="U971" s="530" t="s">
        <v>61</v>
      </c>
    </row>
    <row r="972" spans="1:21" ht="12.75" customHeight="1" x14ac:dyDescent="0.3">
      <c r="A972" s="530" t="str">
        <f t="shared" si="36"/>
        <v>North Wales.2019.Visitor Numbers.Staying Visitor</v>
      </c>
      <c r="B972" s="530" t="s">
        <v>220</v>
      </c>
      <c r="C972" s="530" t="str">
        <f t="shared" si="37"/>
        <v>2019.Visitor Numbers.Staying Visitor</v>
      </c>
      <c r="D972" s="530" t="s">
        <v>245</v>
      </c>
      <c r="E972" s="530" t="s">
        <v>172</v>
      </c>
      <c r="F972" s="530" t="s">
        <v>140</v>
      </c>
      <c r="G972" s="530" t="s">
        <v>140</v>
      </c>
      <c r="H972" s="530">
        <f>SUM(SUMIFS(H:H,$D:$D,$D972,$E:$E,$E972,$F:$F,{"Serviced Accommodation","Non-Serviced Accommodation","SFR"}))</f>
        <v>571.21510812361714</v>
      </c>
      <c r="I972" s="530">
        <f>SUM(SUMIFS(I:I,$D:$D,$D972,$E:$E,$E972,$F:$F,{"Serviced Accommodation","Non-Serviced Accommodation","SFR"}))</f>
        <v>493.19625372519459</v>
      </c>
      <c r="J972" s="530">
        <f>SUM(SUMIFS(J:J,$D:$D,$D972,$E:$E,$E972,$F:$F,{"Serviced Accommodation","Non-Serviced Accommodation","SFR"}))</f>
        <v>962.0080209419931</v>
      </c>
      <c r="K972" s="530">
        <f>SUM(SUMIFS(K:K,$D:$D,$D972,$E:$E,$E972,$F:$F,{"Serviced Accommodation","Non-Serviced Accommodation","SFR"}))</f>
        <v>965.56513274221004</v>
      </c>
      <c r="L972" s="530">
        <f>SUM(SUMIFS(L:L,$D:$D,$D972,$E:$E,$E972,$F:$F,{"Serviced Accommodation","Non-Serviced Accommodation","SFR"}))</f>
        <v>1008.5145785778066</v>
      </c>
      <c r="M972" s="530">
        <f>SUM(SUMIFS(M:M,$D:$D,$D972,$E:$E,$E972,$F:$F,{"Serviced Accommodation","Non-Serviced Accommodation","SFR"}))</f>
        <v>1043.4381634798358</v>
      </c>
      <c r="N972" s="530">
        <f>SUM(SUMIFS(N:N,$D:$D,$D972,$E:$E,$E972,$F:$F,{"Serviced Accommodation","Non-Serviced Accommodation","SFR"}))</f>
        <v>1235.0458899074374</v>
      </c>
      <c r="O972" s="530">
        <f>SUM(SUMIFS(O:O,$D:$D,$D972,$E:$E,$E972,$F:$F,{"Serviced Accommodation","Non-Serviced Accommodation","SFR"}))</f>
        <v>1255.9333651981156</v>
      </c>
      <c r="P972" s="530">
        <f>SUM(SUMIFS(P:P,$D:$D,$D972,$E:$E,$E972,$F:$F,{"Serviced Accommodation","Non-Serviced Accommodation","SFR"}))</f>
        <v>970.14992568510957</v>
      </c>
      <c r="Q972" s="530">
        <f>SUM(SUMIFS(Q:Q,$D:$D,$D972,$E:$E,$E972,$F:$F,{"Serviced Accommodation","Non-Serviced Accommodation","SFR"}))</f>
        <v>857.52677389261078</v>
      </c>
      <c r="R972" s="530">
        <f>SUM(SUMIFS(R:R,$D:$D,$D972,$E:$E,$E972,$F:$F,{"Serviced Accommodation","Non-Serviced Accommodation","SFR"}))</f>
        <v>626.12589109471071</v>
      </c>
      <c r="S972" s="530">
        <f>SUM(SUMIFS(S:S,$D:$D,$D972,$E:$E,$E972,$F:$F,{"Serviced Accommodation","Non-Serviced Accommodation","SFR"}))</f>
        <v>520.3793146699694</v>
      </c>
      <c r="T972" s="530">
        <f>SUM(SUMIFS(T:T,$D:$D,$D972,$E:$E,$E972,$F:$F,{"Serviced Accommodation","Non-Serviced Accommodation","SFR"}))</f>
        <v>10509.098418038609</v>
      </c>
      <c r="U972" s="530" t="s">
        <v>61</v>
      </c>
    </row>
    <row r="973" spans="1:21" ht="12.75" customHeight="1" x14ac:dyDescent="0.3">
      <c r="A973" s="530" t="str">
        <f t="shared" si="36"/>
        <v>North Wales.2019.Vehicle Days.Staying Visitor</v>
      </c>
      <c r="B973" s="530" t="s">
        <v>220</v>
      </c>
      <c r="C973" s="530" t="str">
        <f t="shared" si="37"/>
        <v>2019.Vehicle Days.Staying Visitor</v>
      </c>
      <c r="D973" s="530" t="s">
        <v>245</v>
      </c>
      <c r="E973" s="530" t="s">
        <v>21</v>
      </c>
      <c r="F973" s="530" t="s">
        <v>140</v>
      </c>
      <c r="G973" s="530" t="s">
        <v>140</v>
      </c>
      <c r="H973" s="530">
        <f>SUM(SUMIFS(H:H,$D:$D,$D973,$E:$E,$E973,$F:$F,{"Serviced Accommodation","Non-Serviced Accommodation","SFR"}))</f>
        <v>406.87252771064493</v>
      </c>
      <c r="I973" s="530">
        <f>SUM(SUMIFS(I:I,$D:$D,$D973,$E:$E,$E973,$F:$F,{"Serviced Accommodation","Non-Serviced Accommodation","SFR"}))</f>
        <v>445.18201540938628</v>
      </c>
      <c r="J973" s="530">
        <f>SUM(SUMIFS(J:J,$D:$D,$D973,$E:$E,$E973,$F:$F,{"Serviced Accommodation","Non-Serviced Accommodation","SFR"}))</f>
        <v>1117.9644186698358</v>
      </c>
      <c r="K973" s="530">
        <f>SUM(SUMIFS(K:K,$D:$D,$D973,$E:$E,$E973,$F:$F,{"Serviced Accommodation","Non-Serviced Accommodation","SFR"}))</f>
        <v>1230.57040786473</v>
      </c>
      <c r="L973" s="530">
        <f>SUM(SUMIFS(L:L,$D:$D,$D973,$E:$E,$E973,$F:$F,{"Serviced Accommodation","Non-Serviced Accommodation","SFR"}))</f>
        <v>1396.9378373260129</v>
      </c>
      <c r="M973" s="530">
        <f>SUM(SUMIFS(M:M,$D:$D,$D973,$E:$E,$E973,$F:$F,{"Serviced Accommodation","Non-Serviced Accommodation","SFR"}))</f>
        <v>1472.1171377443472</v>
      </c>
      <c r="N973" s="530">
        <f>SUM(SUMIFS(N:N,$D:$D,$D973,$E:$E,$E973,$F:$F,{"Serviced Accommodation","Non-Serviced Accommodation","SFR"}))</f>
        <v>1709.4904719505962</v>
      </c>
      <c r="O973" s="530">
        <f>SUM(SUMIFS(O:O,$D:$D,$D973,$E:$E,$E973,$F:$F,{"Serviced Accommodation","Non-Serviced Accommodation","SFR"}))</f>
        <v>1741.1249711960147</v>
      </c>
      <c r="P973" s="530">
        <f>SUM(SUMIFS(P:P,$D:$D,$D973,$E:$E,$E973,$F:$F,{"Serviced Accommodation","Non-Serviced Accommodation","SFR"}))</f>
        <v>1318.4381998991489</v>
      </c>
      <c r="Q973" s="530">
        <f>SUM(SUMIFS(Q:Q,$D:$D,$D973,$E:$E,$E973,$F:$F,{"Serviced Accommodation","Non-Serviced Accommodation","SFR"}))</f>
        <v>1174.4762914201551</v>
      </c>
      <c r="R973" s="530">
        <f>SUM(SUMIFS(R:R,$D:$D,$D973,$E:$E,$E973,$F:$F,{"Serviced Accommodation","Non-Serviced Accommodation","SFR"}))</f>
        <v>577.91997490336576</v>
      </c>
      <c r="S973" s="530">
        <f>SUM(SUMIFS(S:S,$D:$D,$D973,$E:$E,$E973,$F:$F,{"Serviced Accommodation","Non-Serviced Accommodation","SFR"}))</f>
        <v>462.34079792585794</v>
      </c>
      <c r="T973" s="530">
        <f>SUM(SUMIFS(T:T,$D:$D,$D973,$E:$E,$E973,$F:$F,{"Serviced Accommodation","Non-Serviced Accommodation","SFR"}))</f>
        <v>13053.435052020095</v>
      </c>
      <c r="U973" s="530" t="s">
        <v>61</v>
      </c>
    </row>
    <row r="974" spans="1:21" ht="12.75" customHeight="1" x14ac:dyDescent="0.3">
      <c r="A974" s="530" t="str">
        <f t="shared" si="36"/>
        <v>North Wales.2019.Vehicle Numbers.Staying Visitor</v>
      </c>
      <c r="B974" s="530" t="s">
        <v>220</v>
      </c>
      <c r="C974" s="530" t="str">
        <f t="shared" si="37"/>
        <v>2019.Vehicle Numbers.Staying Visitor</v>
      </c>
      <c r="D974" s="530" t="s">
        <v>245</v>
      </c>
      <c r="E974" s="530" t="s">
        <v>22</v>
      </c>
      <c r="F974" s="530" t="s">
        <v>140</v>
      </c>
      <c r="G974" s="530" t="s">
        <v>140</v>
      </c>
      <c r="H974" s="530">
        <f>SUM(SUMIFS(H:H,$D:$D,$D974,$E:$E,$E974,$F:$F,{"Serviced Accommodation","Non-Serviced Accommodation","SFR"}))</f>
        <v>155.97871822675916</v>
      </c>
      <c r="I974" s="530">
        <f>SUM(SUMIFS(I:I,$D:$D,$D974,$E:$E,$E974,$F:$F,{"Serviced Accommodation","Non-Serviced Accommodation","SFR"}))</f>
        <v>158.33417434813867</v>
      </c>
      <c r="J974" s="530">
        <f>SUM(SUMIFS(J:J,$D:$D,$D974,$E:$E,$E974,$F:$F,{"Serviced Accommodation","Non-Serviced Accommodation","SFR"}))</f>
        <v>277.30088970772448</v>
      </c>
      <c r="K974" s="530">
        <f>SUM(SUMIFS(K:K,$D:$D,$D974,$E:$E,$E974,$F:$F,{"Serviced Accommodation","Non-Serviced Accommodation","SFR"}))</f>
        <v>255.15341109484666</v>
      </c>
      <c r="L974" s="530">
        <f>SUM(SUMIFS(L:L,$D:$D,$D974,$E:$E,$E974,$F:$F,{"Serviced Accommodation","Non-Serviced Accommodation","SFR"}))</f>
        <v>274.5792991872421</v>
      </c>
      <c r="M974" s="530">
        <f>SUM(SUMIFS(M:M,$D:$D,$D974,$E:$E,$E974,$F:$F,{"Serviced Accommodation","Non-Serviced Accommodation","SFR"}))</f>
        <v>285.7128019370229</v>
      </c>
      <c r="N974" s="530">
        <f>SUM(SUMIFS(N:N,$D:$D,$D974,$E:$E,$E974,$F:$F,{"Serviced Accommodation","Non-Serviced Accommodation","SFR"}))</f>
        <v>320.84917785226219</v>
      </c>
      <c r="O974" s="530">
        <f>SUM(SUMIFS(O:O,$D:$D,$D974,$E:$E,$E974,$F:$F,{"Serviced Accommodation","Non-Serviced Accommodation","SFR"}))</f>
        <v>321.36000785860637</v>
      </c>
      <c r="P974" s="530">
        <f>SUM(SUMIFS(P:P,$D:$D,$D974,$E:$E,$E974,$F:$F,{"Serviced Accommodation","Non-Serviced Accommodation","SFR"}))</f>
        <v>259.08545313005982</v>
      </c>
      <c r="Q974" s="530">
        <f>SUM(SUMIFS(Q:Q,$D:$D,$D974,$E:$E,$E974,$F:$F,{"Serviced Accommodation","Non-Serviced Accommodation","SFR"}))</f>
        <v>233.53291265137534</v>
      </c>
      <c r="R974" s="530">
        <f>SUM(SUMIFS(R:R,$D:$D,$D974,$E:$E,$E974,$F:$F,{"Serviced Accommodation","Non-Serviced Accommodation","SFR"}))</f>
        <v>175.73441807019057</v>
      </c>
      <c r="S974" s="530">
        <f>SUM(SUMIFS(S:S,$D:$D,$D974,$E:$E,$E974,$F:$F,{"Serviced Accommodation","Non-Serviced Accommodation","SFR"}))</f>
        <v>134.84681661972246</v>
      </c>
      <c r="T974" s="530">
        <f>SUM(SUMIFS(T:T,$D:$D,$D974,$E:$E,$E974,$F:$F,{"Serviced Accommodation","Non-Serviced Accommodation","SFR"}))</f>
        <v>2852.4680806839506</v>
      </c>
      <c r="U974" s="530" t="s">
        <v>61</v>
      </c>
    </row>
    <row r="975" spans="1:21" ht="12.75" customHeight="1" x14ac:dyDescent="0.3">
      <c r="A975" s="530" t="str">
        <f t="shared" ref="A975:A986" si="38">B975&amp;"."&amp;D975&amp;"."&amp;E975&amp;"."&amp;F975</f>
        <v>North Wales.2020.Economic Impact.Staying Visitor</v>
      </c>
      <c r="B975" s="530" t="s">
        <v>220</v>
      </c>
      <c r="C975" s="530" t="str">
        <f t="shared" ref="C975:C986" si="39">D975&amp;"."&amp;E975&amp;"."&amp;F975</f>
        <v>2020.Economic Impact.Staying Visitor</v>
      </c>
      <c r="D975" s="530" t="s">
        <v>246</v>
      </c>
      <c r="E975" s="530" t="s">
        <v>17</v>
      </c>
      <c r="F975" s="530" t="s">
        <v>140</v>
      </c>
      <c r="G975" s="530" t="s">
        <v>140</v>
      </c>
      <c r="H975" s="530">
        <f>SUM(SUMIFS(H:H,$D:$D,$D975,$E:$E,$E975,$F:$F,{"Serviced Accommodation","Non-Serviced Accommodation","SFR"}))</f>
        <v>85942.952917512084</v>
      </c>
      <c r="I975" s="530">
        <f>SUM(SUMIFS(I:I,$D:$D,$D975,$E:$E,$E975,$F:$F,{"Serviced Accommodation","Non-Serviced Accommodation","SFR"}))</f>
        <v>88673.981978977434</v>
      </c>
      <c r="J975" s="530">
        <f>SUM(SUMIFS(J:J,$D:$D,$D975,$E:$E,$E975,$F:$F,{"Serviced Accommodation","Non-Serviced Accommodation","SFR"}))</f>
        <v>141307.61069095769</v>
      </c>
      <c r="K975" s="530">
        <f>SUM(SUMIFS(K:K,$D:$D,$D975,$E:$E,$E975,$F:$F,{"Serviced Accommodation","Non-Serviced Accommodation","SFR"}))</f>
        <v>0</v>
      </c>
      <c r="L975" s="530">
        <f>SUM(SUMIFS(L:L,$D:$D,$D975,$E:$E,$E975,$F:$F,{"Serviced Accommodation","Non-Serviced Accommodation","SFR"}))</f>
        <v>0</v>
      </c>
      <c r="M975" s="530">
        <f>SUM(SUMIFS(M:M,$D:$D,$D975,$E:$E,$E975,$F:$F,{"Serviced Accommodation","Non-Serviced Accommodation","SFR"}))</f>
        <v>0</v>
      </c>
      <c r="N975" s="530">
        <f>SUM(SUMIFS(N:N,$D:$D,$D975,$E:$E,$E975,$F:$F,{"Serviced Accommodation","Non-Serviced Accommodation","SFR"}))</f>
        <v>101980.31653352235</v>
      </c>
      <c r="O975" s="530">
        <f>SUM(SUMIFS(O:O,$D:$D,$D975,$E:$E,$E975,$F:$F,{"Serviced Accommodation","Non-Serviced Accommodation","SFR"}))</f>
        <v>301465.41784426838</v>
      </c>
      <c r="P975" s="530">
        <f>SUM(SUMIFS(P:P,$D:$D,$D975,$E:$E,$E975,$F:$F,{"Serviced Accommodation","Non-Serviced Accommodation","SFR"}))</f>
        <v>273293.70549593528</v>
      </c>
      <c r="Q975" s="530">
        <f>SUM(SUMIFS(Q:Q,$D:$D,$D975,$E:$E,$E975,$F:$F,{"Serviced Accommodation","Non-Serviced Accommodation","SFR"}))</f>
        <v>58932.849454293777</v>
      </c>
      <c r="R975" s="530">
        <f>SUM(SUMIFS(R:R,$D:$D,$D975,$E:$E,$E975,$F:$F,{"Serviced Accommodation","Non-Serviced Accommodation","SFR"}))</f>
        <v>32337.699689529803</v>
      </c>
      <c r="S975" s="530">
        <f>SUM(SUMIFS(S:S,$D:$D,$D975,$E:$E,$E975,$F:$F,{"Serviced Accommodation","Non-Serviced Accommodation","SFR"}))</f>
        <v>17870.935533521992</v>
      </c>
      <c r="T975" s="530">
        <f>SUM(SUMIFS(T:T,$D:$D,$D975,$E:$E,$E975,$F:$F,{"Serviced Accommodation","Non-Serviced Accommodation","SFR"}))</f>
        <v>1101805.4701385186</v>
      </c>
      <c r="U975" s="530" t="s">
        <v>57</v>
      </c>
    </row>
    <row r="976" spans="1:21" ht="12.75" customHeight="1" x14ac:dyDescent="0.3">
      <c r="A976" s="530" t="str">
        <f t="shared" si="38"/>
        <v>North Wales.2020.Employment.Staying Visitor</v>
      </c>
      <c r="B976" s="530" t="s">
        <v>220</v>
      </c>
      <c r="C976" s="530" t="str">
        <f t="shared" si="39"/>
        <v>2020.Employment.Staying Visitor</v>
      </c>
      <c r="D976" s="530" t="s">
        <v>246</v>
      </c>
      <c r="E976" s="530" t="s">
        <v>20</v>
      </c>
      <c r="F976" s="530" t="s">
        <v>140</v>
      </c>
      <c r="G976" s="530" t="s">
        <v>140</v>
      </c>
      <c r="H976" s="530">
        <f>SUM(SUMIFS(H:H,$D:$D,$D976,$E:$E,$E976,$F:$F,{"Serviced Accommodation","Non-Serviced Accommodation","SFR"}))</f>
        <v>16498.357101292786</v>
      </c>
      <c r="I976" s="530">
        <f>SUM(SUMIFS(I:I,$D:$D,$D976,$E:$E,$E976,$F:$F,{"Serviced Accommodation","Non-Serviced Accommodation","SFR"}))</f>
        <v>16499.880430793644</v>
      </c>
      <c r="J976" s="530">
        <f>SUM(SUMIFS(J:J,$D:$D,$D976,$E:$E,$E976,$F:$F,{"Serviced Accommodation","Non-Serviced Accommodation","SFR"}))</f>
        <v>19772.245769671299</v>
      </c>
      <c r="K976" s="530">
        <f>SUM(SUMIFS(K:K,$D:$D,$D976,$E:$E,$E976,$F:$F,{"Serviced Accommodation","Non-Serviced Accommodation","SFR"}))</f>
        <v>0</v>
      </c>
      <c r="L976" s="530">
        <f>SUM(SUMIFS(L:L,$D:$D,$D976,$E:$E,$E976,$F:$F,{"Serviced Accommodation","Non-Serviced Accommodation","SFR"}))</f>
        <v>0</v>
      </c>
      <c r="M976" s="530">
        <f>SUM(SUMIFS(M:M,$D:$D,$D976,$E:$E,$E976,$F:$F,{"Serviced Accommodation","Non-Serviced Accommodation","SFR"}))</f>
        <v>0</v>
      </c>
      <c r="N976" s="530">
        <f>SUM(SUMIFS(N:N,$D:$D,$D976,$E:$E,$E976,$F:$F,{"Serviced Accommodation","Non-Serviced Accommodation","SFR"}))</f>
        <v>13556.429475149509</v>
      </c>
      <c r="O976" s="530">
        <f>SUM(SUMIFS(O:O,$D:$D,$D976,$E:$E,$E976,$F:$F,{"Serviced Accommodation","Non-Serviced Accommodation","SFR"}))</f>
        <v>38122.559783048244</v>
      </c>
      <c r="P976" s="530">
        <f>SUM(SUMIFS(P:P,$D:$D,$D976,$E:$E,$E976,$F:$F,{"Serviced Accommodation","Non-Serviced Accommodation","SFR"}))</f>
        <v>34879.105894712615</v>
      </c>
      <c r="Q976" s="530">
        <f>SUM(SUMIFS(Q:Q,$D:$D,$D976,$E:$E,$E976,$F:$F,{"Serviced Accommodation","Non-Serviced Accommodation","SFR"}))</f>
        <v>11291.548449438866</v>
      </c>
      <c r="R976" s="530">
        <f>SUM(SUMIFS(R:R,$D:$D,$D976,$E:$E,$E976,$F:$F,{"Serviced Accommodation","Non-Serviced Accommodation","SFR"}))</f>
        <v>8830.2575979650628</v>
      </c>
      <c r="S976" s="530">
        <f>SUM(SUMIFS(S:S,$D:$D,$D976,$E:$E,$E976,$F:$F,{"Serviced Accommodation","Non-Serviced Accommodation","SFR"}))</f>
        <v>6798.7575702558279</v>
      </c>
      <c r="T976" s="530">
        <f>SUM(SUMIFS(T:T,$D:$D,$D976,$E:$E,$E976,$F:$F,{"Serviced Accommodation","Non-Serviced Accommodation","SFR"}))</f>
        <v>13854.095172693989</v>
      </c>
      <c r="U976" s="530" t="s">
        <v>59</v>
      </c>
    </row>
    <row r="977" spans="1:21" ht="12.75" customHeight="1" x14ac:dyDescent="0.3">
      <c r="A977" s="530" t="str">
        <f t="shared" si="38"/>
        <v>North Wales.2020.Visitor Days.Staying Visitor</v>
      </c>
      <c r="B977" s="530" t="s">
        <v>220</v>
      </c>
      <c r="C977" s="530" t="str">
        <f t="shared" si="39"/>
        <v>2020.Visitor Days.Staying Visitor</v>
      </c>
      <c r="D977" s="530" t="s">
        <v>246</v>
      </c>
      <c r="E977" s="530" t="s">
        <v>171</v>
      </c>
      <c r="F977" s="530" t="s">
        <v>140</v>
      </c>
      <c r="G977" s="530" t="s">
        <v>140</v>
      </c>
      <c r="H977" s="530">
        <f>SUM(SUMIFS(H:H,$D:$D,$D977,$E:$E,$E977,$F:$F,{"Serviced Accommodation","Non-Serviced Accommodation","SFR"}))</f>
        <v>1369.343706090478</v>
      </c>
      <c r="I977" s="530">
        <f>SUM(SUMIFS(I:I,$D:$D,$D977,$E:$E,$E977,$F:$F,{"Serviced Accommodation","Non-Serviced Accommodation","SFR"}))</f>
        <v>1340.6848673946361</v>
      </c>
      <c r="J977" s="530">
        <f>SUM(SUMIFS(J:J,$D:$D,$D977,$E:$E,$E977,$F:$F,{"Serviced Accommodation","Non-Serviced Accommodation","SFR"}))</f>
        <v>2486.2947943524241</v>
      </c>
      <c r="K977" s="530">
        <f>SUM(SUMIFS(K:K,$D:$D,$D977,$E:$E,$E977,$F:$F,{"Serviced Accommodation","Non-Serviced Accommodation","SFR"}))</f>
        <v>0</v>
      </c>
      <c r="L977" s="530">
        <f>SUM(SUMIFS(L:L,$D:$D,$D977,$E:$E,$E977,$F:$F,{"Serviced Accommodation","Non-Serviced Accommodation","SFR"}))</f>
        <v>0</v>
      </c>
      <c r="M977" s="530">
        <f>SUM(SUMIFS(M:M,$D:$D,$D977,$E:$E,$E977,$F:$F,{"Serviced Accommodation","Non-Serviced Accommodation","SFR"}))</f>
        <v>0</v>
      </c>
      <c r="N977" s="530">
        <f>SUM(SUMIFS(N:N,$D:$D,$D977,$E:$E,$E977,$F:$F,{"Serviced Accommodation","Non-Serviced Accommodation","SFR"}))</f>
        <v>1564.2509839317713</v>
      </c>
      <c r="O977" s="530">
        <f>SUM(SUMIFS(O:O,$D:$D,$D977,$E:$E,$E977,$F:$F,{"Serviced Accommodation","Non-Serviced Accommodation","SFR"}))</f>
        <v>4867.2069064876259</v>
      </c>
      <c r="P977" s="530">
        <f>SUM(SUMIFS(P:P,$D:$D,$D977,$E:$E,$E977,$F:$F,{"Serviced Accommodation","Non-Serviced Accommodation","SFR"}))</f>
        <v>4415.385139177055</v>
      </c>
      <c r="Q977" s="530">
        <f>SUM(SUMIFS(Q:Q,$D:$D,$D977,$E:$E,$E977,$F:$F,{"Serviced Accommodation","Non-Serviced Accommodation","SFR"}))</f>
        <v>1076.0051161638783</v>
      </c>
      <c r="R977" s="530">
        <f>SUM(SUMIFS(R:R,$D:$D,$D977,$E:$E,$E977,$F:$F,{"Serviced Accommodation","Non-Serviced Accommodation","SFR"}))</f>
        <v>433.9617832818949</v>
      </c>
      <c r="S977" s="530">
        <f>SUM(SUMIFS(S:S,$D:$D,$D977,$E:$E,$E977,$F:$F,{"Serviced Accommodation","Non-Serviced Accommodation","SFR"}))</f>
        <v>234.5252166799998</v>
      </c>
      <c r="T977" s="530">
        <f>SUM(SUMIFS(T:T,$D:$D,$D977,$E:$E,$E977,$F:$F,{"Serviced Accommodation","Non-Serviced Accommodation","SFR"}))</f>
        <v>17787.658513559763</v>
      </c>
      <c r="U977" s="530" t="s">
        <v>61</v>
      </c>
    </row>
    <row r="978" spans="1:21" ht="12.75" customHeight="1" x14ac:dyDescent="0.3">
      <c r="A978" s="530" t="str">
        <f t="shared" si="38"/>
        <v>North Wales.2020.Visitor Numbers.Staying Visitor</v>
      </c>
      <c r="B978" s="530" t="s">
        <v>220</v>
      </c>
      <c r="C978" s="530" t="str">
        <f t="shared" si="39"/>
        <v>2020.Visitor Numbers.Staying Visitor</v>
      </c>
      <c r="D978" s="530" t="s">
        <v>246</v>
      </c>
      <c r="E978" s="530" t="s">
        <v>172</v>
      </c>
      <c r="F978" s="530" t="s">
        <v>140</v>
      </c>
      <c r="G978" s="530" t="s">
        <v>140</v>
      </c>
      <c r="H978" s="530">
        <f>SUM(SUMIFS(H:H,$D:$D,$D978,$E:$E,$E978,$F:$F,{"Serviced Accommodation","Non-Serviced Accommodation","SFR"}))</f>
        <v>537.05049573861925</v>
      </c>
      <c r="I978" s="530">
        <f>SUM(SUMIFS(I:I,$D:$D,$D978,$E:$E,$E978,$F:$F,{"Serviced Accommodation","Non-Serviced Accommodation","SFR"}))</f>
        <v>482.75467078236022</v>
      </c>
      <c r="J978" s="530">
        <f>SUM(SUMIFS(J:J,$D:$D,$D978,$E:$E,$E978,$F:$F,{"Serviced Accommodation","Non-Serviced Accommodation","SFR"}))</f>
        <v>600.45112665362376</v>
      </c>
      <c r="K978" s="530">
        <f>SUM(SUMIFS(K:K,$D:$D,$D978,$E:$E,$E978,$F:$F,{"Serviced Accommodation","Non-Serviced Accommodation","SFR"}))</f>
        <v>0</v>
      </c>
      <c r="L978" s="530">
        <f>SUM(SUMIFS(L:L,$D:$D,$D978,$E:$E,$E978,$F:$F,{"Serviced Accommodation","Non-Serviced Accommodation","SFR"}))</f>
        <v>0</v>
      </c>
      <c r="M978" s="530">
        <f>SUM(SUMIFS(M:M,$D:$D,$D978,$E:$E,$E978,$F:$F,{"Serviced Accommodation","Non-Serviced Accommodation","SFR"}))</f>
        <v>0</v>
      </c>
      <c r="N978" s="530">
        <f>SUM(SUMIFS(N:N,$D:$D,$D978,$E:$E,$E978,$F:$F,{"Serviced Accommodation","Non-Serviced Accommodation","SFR"}))</f>
        <v>248.42989995495446</v>
      </c>
      <c r="O978" s="530">
        <f>SUM(SUMIFS(O:O,$D:$D,$D978,$E:$E,$E978,$F:$F,{"Serviced Accommodation","Non-Serviced Accommodation","SFR"}))</f>
        <v>843.0840986955709</v>
      </c>
      <c r="P978" s="530">
        <f>SUM(SUMIFS(P:P,$D:$D,$D978,$E:$E,$E978,$F:$F,{"Serviced Accommodation","Non-Serviced Accommodation","SFR"}))</f>
        <v>794.44493011023326</v>
      </c>
      <c r="Q978" s="530">
        <f>SUM(SUMIFS(Q:Q,$D:$D,$D978,$E:$E,$E978,$F:$F,{"Serviced Accommodation","Non-Serviced Accommodation","SFR"}))</f>
        <v>180.9877417658368</v>
      </c>
      <c r="R978" s="530">
        <f>SUM(SUMIFS(R:R,$D:$D,$D978,$E:$E,$E978,$F:$F,{"Serviced Accommodation","Non-Serviced Accommodation","SFR"}))</f>
        <v>132.3140780359596</v>
      </c>
      <c r="S978" s="530">
        <f>SUM(SUMIFS(S:S,$D:$D,$D978,$E:$E,$E978,$F:$F,{"Serviced Accommodation","Non-Serviced Accommodation","SFR"}))</f>
        <v>54.525914991731412</v>
      </c>
      <c r="T978" s="530">
        <f>SUM(SUMIFS(T:T,$D:$D,$D978,$E:$E,$E978,$F:$F,{"Serviced Accommodation","Non-Serviced Accommodation","SFR"}))</f>
        <v>3874.0429567288897</v>
      </c>
      <c r="U978" s="530" t="s">
        <v>61</v>
      </c>
    </row>
    <row r="979" spans="1:21" ht="12.75" customHeight="1" x14ac:dyDescent="0.3">
      <c r="A979" s="530" t="str">
        <f t="shared" si="38"/>
        <v>North Wales.2020.Vehicle Days.Staying Visitor</v>
      </c>
      <c r="B979" s="530" t="s">
        <v>220</v>
      </c>
      <c r="C979" s="530" t="str">
        <f t="shared" si="39"/>
        <v>2020.Vehicle Days.Staying Visitor</v>
      </c>
      <c r="D979" s="530" t="s">
        <v>246</v>
      </c>
      <c r="E979" s="530" t="s">
        <v>21</v>
      </c>
      <c r="F979" s="530" t="s">
        <v>140</v>
      </c>
      <c r="G979" s="530" t="s">
        <v>140</v>
      </c>
      <c r="H979" s="530">
        <f>SUM(SUMIFS(H:H,$D:$D,$D979,$E:$E,$E979,$F:$F,{"Serviced Accommodation","Non-Serviced Accommodation","SFR"}))</f>
        <v>374.19207156570337</v>
      </c>
      <c r="I979" s="530">
        <f>SUM(SUMIFS(I:I,$D:$D,$D979,$E:$E,$E979,$F:$F,{"Serviced Accommodation","Non-Serviced Accommodation","SFR"}))</f>
        <v>421.05096815769656</v>
      </c>
      <c r="J979" s="530">
        <f>SUM(SUMIFS(J:J,$D:$D,$D979,$E:$E,$E979,$F:$F,{"Serviced Accommodation","Non-Serviced Accommodation","SFR"}))</f>
        <v>701.17881839697168</v>
      </c>
      <c r="K979" s="530">
        <f>SUM(SUMIFS(K:K,$D:$D,$D979,$E:$E,$E979,$F:$F,{"Serviced Accommodation","Non-Serviced Accommodation","SFR"}))</f>
        <v>0</v>
      </c>
      <c r="L979" s="530">
        <f>SUM(SUMIFS(L:L,$D:$D,$D979,$E:$E,$E979,$F:$F,{"Serviced Accommodation","Non-Serviced Accommodation","SFR"}))</f>
        <v>0</v>
      </c>
      <c r="M979" s="530">
        <f>SUM(SUMIFS(M:M,$D:$D,$D979,$E:$E,$E979,$F:$F,{"Serviced Accommodation","Non-Serviced Accommodation","SFR"}))</f>
        <v>0</v>
      </c>
      <c r="N979" s="530">
        <f>SUM(SUMIFS(N:N,$D:$D,$D979,$E:$E,$E979,$F:$F,{"Serviced Accommodation","Non-Serviced Accommodation","SFR"}))</f>
        <v>378.84958953101267</v>
      </c>
      <c r="O979" s="530">
        <f>SUM(SUMIFS(O:O,$D:$D,$D979,$E:$E,$E979,$F:$F,{"Serviced Accommodation","Non-Serviced Accommodation","SFR"}))</f>
        <v>1199.0446217031881</v>
      </c>
      <c r="P979" s="530">
        <f>SUM(SUMIFS(P:P,$D:$D,$D979,$E:$E,$E979,$F:$F,{"Serviced Accommodation","Non-Serviced Accommodation","SFR"}))</f>
        <v>1157.8364038288291</v>
      </c>
      <c r="Q979" s="530">
        <f>SUM(SUMIFS(Q:Q,$D:$D,$D979,$E:$E,$E979,$F:$F,{"Serviced Accommodation","Non-Serviced Accommodation","SFR"}))</f>
        <v>274.01090396204631</v>
      </c>
      <c r="R979" s="530">
        <f>SUM(SUMIFS(R:R,$D:$D,$D979,$E:$E,$E979,$F:$F,{"Serviced Accommodation","Non-Serviced Accommodation","SFR"}))</f>
        <v>125.30366378757699</v>
      </c>
      <c r="S979" s="530">
        <f>SUM(SUMIFS(S:S,$D:$D,$D979,$E:$E,$E979,$F:$F,{"Serviced Accommodation","Non-Serviced Accommodation","SFR"}))</f>
        <v>54.368915219129008</v>
      </c>
      <c r="T979" s="530">
        <f>SUM(SUMIFS(T:T,$D:$D,$D979,$E:$E,$E979,$F:$F,{"Serviced Accommodation","Non-Serviced Accommodation","SFR"}))</f>
        <v>4685.8359561521547</v>
      </c>
      <c r="U979" s="530" t="s">
        <v>61</v>
      </c>
    </row>
    <row r="980" spans="1:21" ht="12.75" customHeight="1" x14ac:dyDescent="0.3">
      <c r="A980" s="530" t="str">
        <f t="shared" si="38"/>
        <v>North Wales.2020.Vehicle Numbers.Staying Visitor</v>
      </c>
      <c r="B980" s="530" t="s">
        <v>220</v>
      </c>
      <c r="C980" s="530" t="str">
        <f t="shared" si="39"/>
        <v>2020.Vehicle Numbers.Staying Visitor</v>
      </c>
      <c r="D980" s="530" t="s">
        <v>246</v>
      </c>
      <c r="E980" s="530" t="s">
        <v>22</v>
      </c>
      <c r="F980" s="530" t="s">
        <v>140</v>
      </c>
      <c r="G980" s="530" t="s">
        <v>140</v>
      </c>
      <c r="H980" s="530">
        <f>SUM(SUMIFS(H:H,$D:$D,$D980,$E:$E,$E980,$F:$F,{"Serviced Accommodation","Non-Serviced Accommodation","SFR"}))</f>
        <v>146.66495400851394</v>
      </c>
      <c r="I980" s="530">
        <f>SUM(SUMIFS(I:I,$D:$D,$D980,$E:$E,$E980,$F:$F,{"Serviced Accommodation","Non-Serviced Accommodation","SFR"}))</f>
        <v>155.12875264426839</v>
      </c>
      <c r="J980" s="530">
        <f>SUM(SUMIFS(J:J,$D:$D,$D980,$E:$E,$E980,$F:$F,{"Serviced Accommodation","Non-Serviced Accommodation","SFR"}))</f>
        <v>173.79545070948629</v>
      </c>
      <c r="K980" s="530">
        <f>SUM(SUMIFS(K:K,$D:$D,$D980,$E:$E,$E980,$F:$F,{"Serviced Accommodation","Non-Serviced Accommodation","SFR"}))</f>
        <v>0</v>
      </c>
      <c r="L980" s="530">
        <f>SUM(SUMIFS(L:L,$D:$D,$D980,$E:$E,$E980,$F:$F,{"Serviced Accommodation","Non-Serviced Accommodation","SFR"}))</f>
        <v>0</v>
      </c>
      <c r="M980" s="530">
        <f>SUM(SUMIFS(M:M,$D:$D,$D980,$E:$E,$E980,$F:$F,{"Serviced Accommodation","Non-Serviced Accommodation","SFR"}))</f>
        <v>0</v>
      </c>
      <c r="N980" s="530">
        <f>SUM(SUMIFS(N:N,$D:$D,$D980,$E:$E,$E980,$F:$F,{"Serviced Accommodation","Non-Serviced Accommodation","SFR"}))</f>
        <v>60.643826333993331</v>
      </c>
      <c r="O980" s="530">
        <f>SUM(SUMIFS(O:O,$D:$D,$D980,$E:$E,$E980,$F:$F,{"Serviced Accommodation","Non-Serviced Accommodation","SFR"}))</f>
        <v>210.59167767013648</v>
      </c>
      <c r="P980" s="530">
        <f>SUM(SUMIFS(P:P,$D:$D,$D980,$E:$E,$E980,$F:$F,{"Serviced Accommodation","Non-Serviced Accommodation","SFR"}))</f>
        <v>209.18951893463884</v>
      </c>
      <c r="Q980" s="530">
        <f>SUM(SUMIFS(Q:Q,$D:$D,$D980,$E:$E,$E980,$F:$F,{"Serviced Accommodation","Non-Serviced Accommodation","SFR"}))</f>
        <v>46.579167811011885</v>
      </c>
      <c r="R980" s="530">
        <f>SUM(SUMIFS(R:R,$D:$D,$D980,$E:$E,$E980,$F:$F,{"Serviced Accommodation","Non-Serviced Accommodation","SFR"}))</f>
        <v>38.739528958366925</v>
      </c>
      <c r="S980" s="530">
        <f>SUM(SUMIFS(S:S,$D:$D,$D980,$E:$E,$E980,$F:$F,{"Serviced Accommodation","Non-Serviced Accommodation","SFR"}))</f>
        <v>12.967370090980491</v>
      </c>
      <c r="T980" s="530">
        <f>SUM(SUMIFS(T:T,$D:$D,$D980,$E:$E,$E980,$F:$F,{"Serviced Accommodation","Non-Serviced Accommodation","SFR"}))</f>
        <v>1054.3002471613966</v>
      </c>
      <c r="U980" s="530" t="s">
        <v>61</v>
      </c>
    </row>
    <row r="981" spans="1:21" ht="12.75" customHeight="1" x14ac:dyDescent="0.3">
      <c r="A981" s="530" t="str">
        <f t="shared" si="38"/>
        <v>North Wales.2021.Economic Impact.Staying Visitor</v>
      </c>
      <c r="B981" s="530" t="s">
        <v>220</v>
      </c>
      <c r="C981" s="530" t="str">
        <f t="shared" si="39"/>
        <v>2021.Economic Impact.Staying Visitor</v>
      </c>
      <c r="D981" s="530" t="s">
        <v>247</v>
      </c>
      <c r="E981" s="530" t="s">
        <v>17</v>
      </c>
      <c r="F981" s="530" t="s">
        <v>140</v>
      </c>
      <c r="G981" s="530" t="s">
        <v>140</v>
      </c>
      <c r="H981" s="530">
        <f>SUM(SUMIFS(H:H,$D:$D,$D981,$E:$E,$E981,$F:$F,{"Serviced Accommodation","Non-Serviced Accommodation","SFR"}))</f>
        <v>247.87456881262881</v>
      </c>
      <c r="I981" s="530">
        <f>SUM(SUMIFS(I:I,$D:$D,$D981,$E:$E,$E981,$F:$F,{"Serviced Accommodation","Non-Serviced Accommodation","SFR"}))</f>
        <v>231.30280289403635</v>
      </c>
      <c r="J981" s="530">
        <f>SUM(SUMIFS(J:J,$D:$D,$D981,$E:$E,$E981,$F:$F,{"Serviced Accommodation","Non-Serviced Accommodation","SFR"}))</f>
        <v>27215.460069944871</v>
      </c>
      <c r="K981" s="530">
        <f>SUM(SUMIFS(K:K,$D:$D,$D981,$E:$E,$E981,$F:$F,{"Serviced Accommodation","Non-Serviced Accommodation","SFR"}))</f>
        <v>139918.63213258193</v>
      </c>
      <c r="L981" s="530">
        <f>SUM(SUMIFS(L:L,$D:$D,$D981,$E:$E,$E981,$F:$F,{"Serviced Accommodation","Non-Serviced Accommodation","SFR"}))</f>
        <v>158511.98937888758</v>
      </c>
      <c r="M981" s="530">
        <f>SUM(SUMIFS(M:M,$D:$D,$D981,$E:$E,$E981,$F:$F,{"Serviced Accommodation","Non-Serviced Accommodation","SFR"}))</f>
        <v>244983.15156135237</v>
      </c>
      <c r="N981" s="530">
        <f>SUM(SUMIFS(N:N,$D:$D,$D981,$E:$E,$E981,$F:$F,{"Serviced Accommodation","Non-Serviced Accommodation","SFR"}))</f>
        <v>372019.24892062362</v>
      </c>
      <c r="O981" s="530">
        <f>SUM(SUMIFS(O:O,$D:$D,$D981,$E:$E,$E981,$F:$F,{"Serviced Accommodation","Non-Serviced Accommodation","SFR"}))</f>
        <v>442086.68393145327</v>
      </c>
      <c r="P981" s="530">
        <f>SUM(SUMIFS(P:P,$D:$D,$D981,$E:$E,$E981,$F:$F,{"Serviced Accommodation","Non-Serviced Accommodation","SFR"}))</f>
        <v>371859.28461627493</v>
      </c>
      <c r="Q981" s="530">
        <f>SUM(SUMIFS(Q:Q,$D:$D,$D981,$E:$E,$E981,$F:$F,{"Serviced Accommodation","Non-Serviced Accommodation","SFR"}))</f>
        <v>308025.16993954539</v>
      </c>
      <c r="R981" s="530">
        <f>SUM(SUMIFS(R:R,$D:$D,$D981,$E:$E,$E981,$F:$F,{"Serviced Accommodation","Non-Serviced Accommodation","SFR"}))</f>
        <v>118496.92998469864</v>
      </c>
      <c r="S981" s="530">
        <f>SUM(SUMIFS(S:S,$D:$D,$D981,$E:$E,$E981,$F:$F,{"Serviced Accommodation","Non-Serviced Accommodation","SFR"}))</f>
        <v>112270.02788564134</v>
      </c>
      <c r="T981" s="530">
        <f>SUM(SUMIFS(T:T,$D:$D,$D981,$E:$E,$E981,$F:$F,{"Serviced Accommodation","Non-Serviced Accommodation","SFR"}))</f>
        <v>2295865.7557927109</v>
      </c>
      <c r="U981" s="530" t="s">
        <v>57</v>
      </c>
    </row>
    <row r="982" spans="1:21" ht="12.75" customHeight="1" x14ac:dyDescent="0.3">
      <c r="A982" s="530" t="str">
        <f t="shared" si="38"/>
        <v>North Wales.2021.Employment.Staying Visitor</v>
      </c>
      <c r="B982" s="530" t="s">
        <v>220</v>
      </c>
      <c r="C982" s="530" t="str">
        <f t="shared" si="39"/>
        <v>2021.Employment.Staying Visitor</v>
      </c>
      <c r="D982" s="530" t="s">
        <v>247</v>
      </c>
      <c r="E982" s="530" t="s">
        <v>20</v>
      </c>
      <c r="F982" s="530" t="s">
        <v>140</v>
      </c>
      <c r="G982" s="530" t="s">
        <v>140</v>
      </c>
      <c r="H982" s="530">
        <f>SUM(SUMIFS(H:H,$D:$D,$D982,$E:$E,$E982,$F:$F,{"Serviced Accommodation","Non-Serviced Accommodation","SFR"}))</f>
        <v>10.755207501893329</v>
      </c>
      <c r="I982" s="530">
        <f>SUM(SUMIFS(I:I,$D:$D,$D982,$E:$E,$E982,$F:$F,{"Serviced Accommodation","Non-Serviced Accommodation","SFR"}))</f>
        <v>9.8713323132931503</v>
      </c>
      <c r="J982" s="530">
        <f>SUM(SUMIFS(J:J,$D:$D,$D982,$E:$E,$E982,$F:$F,{"Serviced Accommodation","Non-Serviced Accommodation","SFR"}))</f>
        <v>3332.6603441049201</v>
      </c>
      <c r="K982" s="530">
        <f>SUM(SUMIFS(K:K,$D:$D,$D982,$E:$E,$E982,$F:$F,{"Serviced Accommodation","Non-Serviced Accommodation","SFR"}))</f>
        <v>16979.008694339926</v>
      </c>
      <c r="L982" s="530">
        <f>SUM(SUMIFS(L:L,$D:$D,$D982,$E:$E,$E982,$F:$F,{"Serviced Accommodation","Non-Serviced Accommodation","SFR"}))</f>
        <v>20257.391116834813</v>
      </c>
      <c r="M982" s="530">
        <f>SUM(SUMIFS(M:M,$D:$D,$D982,$E:$E,$E982,$F:$F,{"Serviced Accommodation","Non-Serviced Accommodation","SFR"}))</f>
        <v>30005.692325973803</v>
      </c>
      <c r="N982" s="530">
        <f>SUM(SUMIFS(N:N,$D:$D,$D982,$E:$E,$E982,$F:$F,{"Serviced Accommodation","Non-Serviced Accommodation","SFR"}))</f>
        <v>38330.565091084041</v>
      </c>
      <c r="O982" s="530">
        <f>SUM(SUMIFS(O:O,$D:$D,$D982,$E:$E,$E982,$F:$F,{"Serviced Accommodation","Non-Serviced Accommodation","SFR"}))</f>
        <v>46532.72029287833</v>
      </c>
      <c r="P982" s="530">
        <f>SUM(SUMIFS(P:P,$D:$D,$D982,$E:$E,$E982,$F:$F,{"Serviced Accommodation","Non-Serviced Accommodation","SFR"}))</f>
        <v>38610.87532155247</v>
      </c>
      <c r="Q982" s="530">
        <f>SUM(SUMIFS(Q:Q,$D:$D,$D982,$E:$E,$E982,$F:$F,{"Serviced Accommodation","Non-Serviced Accommodation","SFR"}))</f>
        <v>35820.917717318072</v>
      </c>
      <c r="R982" s="530">
        <f>SUM(SUMIFS(R:R,$D:$D,$D982,$E:$E,$E982,$F:$F,{"Serviced Accommodation","Non-Serviced Accommodation","SFR"}))</f>
        <v>17810.074241087663</v>
      </c>
      <c r="S982" s="530">
        <f>SUM(SUMIFS(S:S,$D:$D,$D982,$E:$E,$E982,$F:$F,{"Serviced Accommodation","Non-Serviced Accommodation","SFR"}))</f>
        <v>17320.06807129025</v>
      </c>
      <c r="T982" s="530">
        <f>SUM(SUMIFS(T:T,$D:$D,$D982,$E:$E,$E982,$F:$F,{"Serviced Accommodation","Non-Serviced Accommodation","SFR"}))</f>
        <v>22085.049979689957</v>
      </c>
      <c r="U982" s="530" t="s">
        <v>59</v>
      </c>
    </row>
    <row r="983" spans="1:21" ht="12.75" customHeight="1" x14ac:dyDescent="0.3">
      <c r="A983" s="530" t="str">
        <f t="shared" si="38"/>
        <v>North Wales.2021.Visitor Days.Staying Visitor</v>
      </c>
      <c r="B983" s="530" t="s">
        <v>220</v>
      </c>
      <c r="C983" s="530" t="str">
        <f t="shared" si="39"/>
        <v>2021.Visitor Days.Staying Visitor</v>
      </c>
      <c r="D983" s="530" t="s">
        <v>247</v>
      </c>
      <c r="E983" s="530" t="s">
        <v>171</v>
      </c>
      <c r="F983" s="530" t="s">
        <v>140</v>
      </c>
      <c r="G983" s="530" t="s">
        <v>140</v>
      </c>
      <c r="H983" s="530">
        <f>SUM(SUMIFS(H:H,$D:$D,$D983,$E:$E,$E983,$F:$F,{"Serviced Accommodation","Non-Serviced Accommodation","SFR"}))</f>
        <v>2.9529817932835676</v>
      </c>
      <c r="I983" s="530">
        <f>SUM(SUMIFS(I:I,$D:$D,$D983,$E:$E,$E983,$F:$F,{"Serviced Accommodation","Non-Serviced Accommodation","SFR"}))</f>
        <v>2.7103023899329646</v>
      </c>
      <c r="J983" s="530">
        <f>SUM(SUMIFS(J:J,$D:$D,$D983,$E:$E,$E983,$F:$F,{"Serviced Accommodation","Non-Serviced Accommodation","SFR"}))</f>
        <v>508.11840991898691</v>
      </c>
      <c r="K983" s="530">
        <f>SUM(SUMIFS(K:K,$D:$D,$D983,$E:$E,$E983,$F:$F,{"Serviced Accommodation","Non-Serviced Accommodation","SFR"}))</f>
        <v>2250.1004394382862</v>
      </c>
      <c r="L983" s="530">
        <f>SUM(SUMIFS(L:L,$D:$D,$D983,$E:$E,$E983,$F:$F,{"Serviced Accommodation","Non-Serviced Accommodation","SFR"}))</f>
        <v>2378.8187499201144</v>
      </c>
      <c r="M983" s="530">
        <f>SUM(SUMIFS(M:M,$D:$D,$D983,$E:$E,$E983,$F:$F,{"Serviced Accommodation","Non-Serviced Accommodation","SFR"}))</f>
        <v>3620.4394146465706</v>
      </c>
      <c r="N983" s="530">
        <f>SUM(SUMIFS(N:N,$D:$D,$D983,$E:$E,$E983,$F:$F,{"Serviced Accommodation","Non-Serviced Accommodation","SFR"}))</f>
        <v>5288.7380251986542</v>
      </c>
      <c r="O983" s="530">
        <f>SUM(SUMIFS(O:O,$D:$D,$D983,$E:$E,$E983,$F:$F,{"Serviced Accommodation","Non-Serviced Accommodation","SFR"}))</f>
        <v>7243.9527538536186</v>
      </c>
      <c r="P983" s="530">
        <f>SUM(SUMIFS(P:P,$D:$D,$D983,$E:$E,$E983,$F:$F,{"Serviced Accommodation","Non-Serviced Accommodation","SFR"}))</f>
        <v>5900.0905320146676</v>
      </c>
      <c r="Q983" s="530">
        <f>SUM(SUMIFS(Q:Q,$D:$D,$D983,$E:$E,$E983,$F:$F,{"Serviced Accommodation","Non-Serviced Accommodation","SFR"}))</f>
        <v>5703.3449002768011</v>
      </c>
      <c r="R983" s="530">
        <f>SUM(SUMIFS(R:R,$D:$D,$D983,$E:$E,$E983,$F:$F,{"Serviced Accommodation","Non-Serviced Accommodation","SFR"}))</f>
        <v>1559.0939602026353</v>
      </c>
      <c r="S983" s="530">
        <f>SUM(SUMIFS(S:S,$D:$D,$D983,$E:$E,$E983,$F:$F,{"Serviced Accommodation","Non-Serviced Accommodation","SFR"}))</f>
        <v>1511.6571199413511</v>
      </c>
      <c r="T983" s="530">
        <f>SUM(SUMIFS(T:T,$D:$D,$D983,$E:$E,$E983,$F:$F,{"Serviced Accommodation","Non-Serviced Accommodation","SFR"}))</f>
        <v>35970.017589594907</v>
      </c>
      <c r="U983" s="530" t="s">
        <v>61</v>
      </c>
    </row>
    <row r="984" spans="1:21" ht="12.75" customHeight="1" x14ac:dyDescent="0.3">
      <c r="A984" s="530" t="str">
        <f t="shared" si="38"/>
        <v>North Wales.2021.Visitor Numbers.Staying Visitor</v>
      </c>
      <c r="B984" s="530" t="s">
        <v>220</v>
      </c>
      <c r="C984" s="530" t="str">
        <f t="shared" si="39"/>
        <v>2021.Visitor Numbers.Staying Visitor</v>
      </c>
      <c r="D984" s="530" t="s">
        <v>247</v>
      </c>
      <c r="E984" s="530" t="s">
        <v>172</v>
      </c>
      <c r="F984" s="530" t="s">
        <v>140</v>
      </c>
      <c r="G984" s="530" t="s">
        <v>140</v>
      </c>
      <c r="H984" s="530">
        <f>SUM(SUMIFS(H:H,$D:$D,$D984,$E:$E,$E984,$F:$F,{"Serviced Accommodation","Non-Serviced Accommodation","SFR"}))</f>
        <v>0.86852405684810818</v>
      </c>
      <c r="I984" s="530">
        <f>SUM(SUMIFS(I:I,$D:$D,$D984,$E:$E,$E984,$F:$F,{"Serviced Accommodation","Non-Serviced Accommodation","SFR"}))</f>
        <v>0.67757559748324114</v>
      </c>
      <c r="J984" s="530">
        <f>SUM(SUMIFS(J:J,$D:$D,$D984,$E:$E,$E984,$F:$F,{"Serviced Accommodation","Non-Serviced Accommodation","SFR"}))</f>
        <v>106.87171568368505</v>
      </c>
      <c r="K984" s="530">
        <f>SUM(SUMIFS(K:K,$D:$D,$D984,$E:$E,$E984,$F:$F,{"Serviced Accommodation","Non-Serviced Accommodation","SFR"}))</f>
        <v>369.13604112307274</v>
      </c>
      <c r="L984" s="530">
        <f>SUM(SUMIFS(L:L,$D:$D,$D984,$E:$E,$E984,$F:$F,{"Serviced Accommodation","Non-Serviced Accommodation","SFR"}))</f>
        <v>432.21558233125637</v>
      </c>
      <c r="M984" s="530">
        <f>SUM(SUMIFS(M:M,$D:$D,$D984,$E:$E,$E984,$F:$F,{"Serviced Accommodation","Non-Serviced Accommodation","SFR"}))</f>
        <v>727.30552237729592</v>
      </c>
      <c r="N984" s="530">
        <f>SUM(SUMIFS(N:N,$D:$D,$D984,$E:$E,$E984,$F:$F,{"Serviced Accommodation","Non-Serviced Accommodation","SFR"}))</f>
        <v>1044.5288951455091</v>
      </c>
      <c r="O984" s="530">
        <f>SUM(SUMIFS(O:O,$D:$D,$D984,$E:$E,$E984,$F:$F,{"Serviced Accommodation","Non-Serviced Accommodation","SFR"}))</f>
        <v>1290.0722895985048</v>
      </c>
      <c r="P984" s="530">
        <f>SUM(SUMIFS(P:P,$D:$D,$D984,$E:$E,$E984,$F:$F,{"Serviced Accommodation","Non-Serviced Accommodation","SFR"}))</f>
        <v>1083.8728004935019</v>
      </c>
      <c r="Q984" s="530">
        <f>SUM(SUMIFS(Q:Q,$D:$D,$D984,$E:$E,$E984,$F:$F,{"Serviced Accommodation","Non-Serviced Accommodation","SFR"}))</f>
        <v>1040.8836428055477</v>
      </c>
      <c r="R984" s="530">
        <f>SUM(SUMIFS(R:R,$D:$D,$D984,$E:$E,$E984,$F:$F,{"Serviced Accommodation","Non-Serviced Accommodation","SFR"}))</f>
        <v>514.19589859301834</v>
      </c>
      <c r="S984" s="530">
        <f>SUM(SUMIFS(S:S,$D:$D,$D984,$E:$E,$E984,$F:$F,{"Serviced Accommodation","Non-Serviced Accommodation","SFR"}))</f>
        <v>429.31347874140681</v>
      </c>
      <c r="T984" s="530">
        <f>SUM(SUMIFS(T:T,$D:$D,$D984,$E:$E,$E984,$F:$F,{"Serviced Accommodation","Non-Serviced Accommodation","SFR"}))</f>
        <v>7039.9419665471314</v>
      </c>
      <c r="U984" s="530" t="s">
        <v>61</v>
      </c>
    </row>
    <row r="985" spans="1:21" ht="12.75" customHeight="1" x14ac:dyDescent="0.3">
      <c r="A985" s="530" t="str">
        <f t="shared" si="38"/>
        <v>North Wales.2021.Vehicle Days.Staying Visitor</v>
      </c>
      <c r="B985" s="530" t="s">
        <v>220</v>
      </c>
      <c r="C985" s="530" t="str">
        <f t="shared" si="39"/>
        <v>2021.Vehicle Days.Staying Visitor</v>
      </c>
      <c r="D985" s="530" t="s">
        <v>247</v>
      </c>
      <c r="E985" s="530" t="s">
        <v>21</v>
      </c>
      <c r="F985" s="530" t="s">
        <v>140</v>
      </c>
      <c r="G985" s="530" t="s">
        <v>140</v>
      </c>
      <c r="H985" s="530">
        <f>SUM(SUMIFS(H:H,$D:$D,$D985,$E:$E,$E985,$F:$F,{"Serviced Accommodation","Non-Serviced Accommodation","SFR"}))</f>
        <v>0.76080491050562593</v>
      </c>
      <c r="I985" s="530">
        <f>SUM(SUMIFS(I:I,$D:$D,$D985,$E:$E,$E985,$F:$F,{"Serviced Accommodation","Non-Serviced Accommodation","SFR"}))</f>
        <v>0.8862798543922491</v>
      </c>
      <c r="J985" s="530">
        <f>SUM(SUMIFS(J:J,$D:$D,$D985,$E:$E,$E985,$F:$F,{"Serviced Accommodation","Non-Serviced Accommodation","SFR"}))</f>
        <v>140.8975245438902</v>
      </c>
      <c r="K985" s="530">
        <f>SUM(SUMIFS(K:K,$D:$D,$D985,$E:$E,$E985,$F:$F,{"Serviced Accommodation","Non-Serviced Accommodation","SFR"}))</f>
        <v>605.81901468641649</v>
      </c>
      <c r="L985" s="530">
        <f>SUM(SUMIFS(L:L,$D:$D,$D985,$E:$E,$E985,$F:$F,{"Serviced Accommodation","Non-Serviced Accommodation","SFR"}))</f>
        <v>670.43961176484186</v>
      </c>
      <c r="M985" s="530">
        <f>SUM(SUMIFS(M:M,$D:$D,$D985,$E:$E,$E985,$F:$F,{"Serviced Accommodation","Non-Serviced Accommodation","SFR"}))</f>
        <v>1041.912821043305</v>
      </c>
      <c r="N985" s="530">
        <f>SUM(SUMIFS(N:N,$D:$D,$D985,$E:$E,$E985,$F:$F,{"Serviced Accommodation","Non-Serviced Accommodation","SFR"}))</f>
        <v>1396.8091720966729</v>
      </c>
      <c r="O985" s="530">
        <f>SUM(SUMIFS(O:O,$D:$D,$D985,$E:$E,$E985,$F:$F,{"Serviced Accommodation","Non-Serviced Accommodation","SFR"}))</f>
        <v>1819.4739150569092</v>
      </c>
      <c r="P985" s="530">
        <f>SUM(SUMIFS(P:P,$D:$D,$D985,$E:$E,$E985,$F:$F,{"Serviced Accommodation","Non-Serviced Accommodation","SFR"}))</f>
        <v>1560.9217404340602</v>
      </c>
      <c r="Q985" s="530">
        <f>SUM(SUMIFS(Q:Q,$D:$D,$D985,$E:$E,$E985,$F:$F,{"Serviced Accommodation","Non-Serviced Accommodation","SFR"}))</f>
        <v>1503.2345475744512</v>
      </c>
      <c r="R985" s="530">
        <f>SUM(SUMIFS(R:R,$D:$D,$D985,$E:$E,$E985,$F:$F,{"Serviced Accommodation","Non-Serviced Accommodation","SFR"}))</f>
        <v>448.0434145110932</v>
      </c>
      <c r="S985" s="530">
        <f>SUM(SUMIFS(S:S,$D:$D,$D985,$E:$E,$E985,$F:$F,{"Serviced Accommodation","Non-Serviced Accommodation","SFR"}))</f>
        <v>373.59700178152104</v>
      </c>
      <c r="T985" s="530">
        <f>SUM(SUMIFS(T:T,$D:$D,$D985,$E:$E,$E985,$F:$F,{"Serviced Accommodation","Non-Serviced Accommodation","SFR"}))</f>
        <v>9562.7958482580598</v>
      </c>
      <c r="U985" s="530" t="s">
        <v>61</v>
      </c>
    </row>
    <row r="986" spans="1:21" ht="12.75" customHeight="1" x14ac:dyDescent="0.3">
      <c r="A986" s="530" t="str">
        <f t="shared" si="38"/>
        <v>North Wales.2021.Vehicle Numbers.Staying Visitor</v>
      </c>
      <c r="B986" s="530" t="s">
        <v>220</v>
      </c>
      <c r="C986" s="530" t="str">
        <f t="shared" si="39"/>
        <v>2021.Vehicle Numbers.Staying Visitor</v>
      </c>
      <c r="D986" s="530" t="s">
        <v>247</v>
      </c>
      <c r="E986" s="530" t="s">
        <v>22</v>
      </c>
      <c r="F986" s="530" t="s">
        <v>140</v>
      </c>
      <c r="G986" s="530" t="s">
        <v>140</v>
      </c>
      <c r="H986" s="530">
        <f>SUM(SUMIFS(H:H,$D:$D,$D986,$E:$E,$E986,$F:$F,{"Serviced Accommodation","Non-Serviced Accommodation","SFR"}))</f>
        <v>0.22376615014871357</v>
      </c>
      <c r="I986" s="530">
        <f>SUM(SUMIFS(I:I,$D:$D,$D986,$E:$E,$E986,$F:$F,{"Serviced Accommodation","Non-Serviced Accommodation","SFR"}))</f>
        <v>0.22156996359806228</v>
      </c>
      <c r="J986" s="530">
        <f>SUM(SUMIFS(J:J,$D:$D,$D986,$E:$E,$E986,$F:$F,{"Serviced Accommodation","Non-Serviced Accommodation","SFR"}))</f>
        <v>29.643152176805184</v>
      </c>
      <c r="K986" s="530">
        <f>SUM(SUMIFS(K:K,$D:$D,$D986,$E:$E,$E986,$F:$F,{"Serviced Accommodation","Non-Serviced Accommodation","SFR"}))</f>
        <v>98.899213474049603</v>
      </c>
      <c r="L986" s="530">
        <f>SUM(SUMIFS(L:L,$D:$D,$D986,$E:$E,$E986,$F:$F,{"Serviced Accommodation","Non-Serviced Accommodation","SFR"}))</f>
        <v>122.01887030213426</v>
      </c>
      <c r="M986" s="530">
        <f>SUM(SUMIFS(M:M,$D:$D,$D986,$E:$E,$E986,$F:$F,{"Serviced Accommodation","Non-Serviced Accommodation","SFR"}))</f>
        <v>208.00142748363609</v>
      </c>
      <c r="N986" s="530">
        <f>SUM(SUMIFS(N:N,$D:$D,$D986,$E:$E,$E986,$F:$F,{"Serviced Accommodation","Non-Serviced Accommodation","SFR"}))</f>
        <v>276.18709926087956</v>
      </c>
      <c r="O986" s="530">
        <f>SUM(SUMIFS(O:O,$D:$D,$D986,$E:$E,$E986,$F:$F,{"Serviced Accommodation","Non-Serviced Accommodation","SFR"}))</f>
        <v>328.70512264429863</v>
      </c>
      <c r="P986" s="530">
        <f>SUM(SUMIFS(P:P,$D:$D,$D986,$E:$E,$E986,$F:$F,{"Serviced Accommodation","Non-Serviced Accommodation","SFR"}))</f>
        <v>288.22399404198524</v>
      </c>
      <c r="Q986" s="530">
        <f>SUM(SUMIFS(Q:Q,$D:$D,$D986,$E:$E,$E986,$F:$F,{"Serviced Accommodation","Non-Serviced Accommodation","SFR"}))</f>
        <v>282.44405373832438</v>
      </c>
      <c r="R986" s="530">
        <f>SUM(SUMIFS(R:R,$D:$D,$D986,$E:$E,$E986,$F:$F,{"Serviced Accommodation","Non-Serviced Accommodation","SFR"}))</f>
        <v>150.06845853500897</v>
      </c>
      <c r="S986" s="530">
        <f>SUM(SUMIFS(S:S,$D:$D,$D986,$E:$E,$E986,$F:$F,{"Serviced Accommodation","Non-Serviced Accommodation","SFR"}))</f>
        <v>109.26591047751889</v>
      </c>
      <c r="T986" s="530">
        <f>SUM(SUMIFS(T:T,$D:$D,$D986,$E:$E,$E986,$F:$F,{"Serviced Accommodation","Non-Serviced Accommodation","SFR"}))</f>
        <v>1893.9026382483876</v>
      </c>
      <c r="U986" s="530" t="s">
        <v>61</v>
      </c>
    </row>
    <row r="987" spans="1:21" ht="12.75" customHeight="1" x14ac:dyDescent="0.3">
      <c r="A987" s="530" t="str">
        <f t="shared" ref="A987:A992" si="40">B987&amp;"."&amp;D987&amp;"."&amp;E987&amp;"."&amp;F987</f>
        <v>North Wales.2022.Economic Impact.Staying Visitor</v>
      </c>
      <c r="B987" s="530" t="s">
        <v>220</v>
      </c>
      <c r="C987" s="530" t="str">
        <f t="shared" ref="C987:C992" si="41">D987&amp;"."&amp;E987&amp;"."&amp;F987</f>
        <v>2022.Economic Impact.Staying Visitor</v>
      </c>
      <c r="D987" s="530" t="s">
        <v>248</v>
      </c>
      <c r="E987" s="530" t="s">
        <v>17</v>
      </c>
      <c r="F987" s="530" t="s">
        <v>140</v>
      </c>
      <c r="G987" s="530" t="s">
        <v>140</v>
      </c>
      <c r="H987" s="530">
        <f>SUM(SUMIFS(H:H,$D:$D,$D987,$E:$E,$E987,$F:$F,{"Serviced Accommodation","Non-Serviced Accommodation","SFR"}))</f>
        <v>103948.49758215524</v>
      </c>
      <c r="I987" s="530">
        <f>SUM(SUMIFS(I:I,$D:$D,$D987,$E:$E,$E987,$F:$F,{"Serviced Accommodation","Non-Serviced Accommodation","SFR"}))</f>
        <v>121869.03340354798</v>
      </c>
      <c r="J987" s="530">
        <f>SUM(SUMIFS(J:J,$D:$D,$D987,$E:$E,$E987,$F:$F,{"Serviced Accommodation","Non-Serviced Accommodation","SFR"}))</f>
        <v>260389.90850829103</v>
      </c>
      <c r="K987" s="530">
        <f>SUM(SUMIFS(K:K,$D:$D,$D987,$E:$E,$E987,$F:$F,{"Serviced Accommodation","Non-Serviced Accommodation","SFR"}))</f>
        <v>281870.83956463216</v>
      </c>
      <c r="L987" s="530">
        <f>SUM(SUMIFS(L:L,$D:$D,$D987,$E:$E,$E987,$F:$F,{"Serviced Accommodation","Non-Serviced Accommodation","SFR"}))</f>
        <v>304790.76702847402</v>
      </c>
      <c r="M987" s="530">
        <f>SUM(SUMIFS(M:M,$D:$D,$D987,$E:$E,$E987,$F:$F,{"Serviced Accommodation","Non-Serviced Accommodation","SFR"}))</f>
        <v>325555.35827909305</v>
      </c>
      <c r="N987" s="530">
        <f>SUM(SUMIFS(N:N,$D:$D,$D987,$E:$E,$E987,$F:$F,{"Serviced Accommodation","Non-Serviced Accommodation","SFR"}))</f>
        <v>430317.62830533867</v>
      </c>
      <c r="O987" s="530">
        <f>SUM(SUMIFS(O:O,$D:$D,$D987,$E:$E,$E987,$F:$F,{"Serviced Accommodation","Non-Serviced Accommodation","SFR"}))</f>
        <v>440005.16059684445</v>
      </c>
      <c r="P987" s="530">
        <f>SUM(SUMIFS(P:P,$D:$D,$D987,$E:$E,$E987,$F:$F,{"Serviced Accommodation","Non-Serviced Accommodation","SFR"}))</f>
        <v>338530.26063835336</v>
      </c>
      <c r="Q987" s="530">
        <f>SUM(SUMIFS(Q:Q,$D:$D,$D987,$E:$E,$E987,$F:$F,{"Serviced Accommodation","Non-Serviced Accommodation","SFR"}))</f>
        <v>266950.06858277577</v>
      </c>
      <c r="R987" s="530">
        <f>SUM(SUMIFS(R:R,$D:$D,$D987,$E:$E,$E987,$F:$F,{"Serviced Accommodation","Non-Serviced Accommodation","SFR"}))</f>
        <v>153612.9499717727</v>
      </c>
      <c r="S987" s="530">
        <f>SUM(SUMIFS(S:S,$D:$D,$D987,$E:$E,$E987,$F:$F,{"Serviced Accommodation","Non-Serviced Accommodation","SFR"}))</f>
        <v>130043.68322103619</v>
      </c>
      <c r="T987" s="530">
        <f>SUM(SUMIFS(T:T,$D:$D,$D987,$E:$E,$E987,$F:$F,{"Serviced Accommodation","Non-Serviced Accommodation","SFR"}))</f>
        <v>3157884.1556823147</v>
      </c>
      <c r="U987" s="530" t="s">
        <v>57</v>
      </c>
    </row>
    <row r="988" spans="1:21" ht="12.75" customHeight="1" x14ac:dyDescent="0.3">
      <c r="A988" s="530" t="str">
        <f t="shared" si="40"/>
        <v>North Wales.2022.Employment.Staying Visitor</v>
      </c>
      <c r="B988" s="530" t="s">
        <v>220</v>
      </c>
      <c r="C988" s="530" t="str">
        <f t="shared" si="41"/>
        <v>2022.Employment.Staying Visitor</v>
      </c>
      <c r="D988" s="530" t="s">
        <v>248</v>
      </c>
      <c r="E988" s="530" t="s">
        <v>20</v>
      </c>
      <c r="F988" s="530" t="s">
        <v>140</v>
      </c>
      <c r="G988" s="530" t="s">
        <v>140</v>
      </c>
      <c r="H988" s="530">
        <f>SUM(SUMIFS(H:H,$D:$D,$D988,$E:$E,$E988,$F:$F,{"Serviced Accommodation","Non-Serviced Accommodation","SFR"}))</f>
        <v>16949.700657917503</v>
      </c>
      <c r="I988" s="530">
        <f>SUM(SUMIFS(I:I,$D:$D,$D988,$E:$E,$E988,$F:$F,{"Serviced Accommodation","Non-Serviced Accommodation","SFR"}))</f>
        <v>19364.512239664273</v>
      </c>
      <c r="J988" s="530">
        <f>SUM(SUMIFS(J:J,$D:$D,$D988,$E:$E,$E988,$F:$F,{"Serviced Accommodation","Non-Serviced Accommodation","SFR"}))</f>
        <v>30061.586840856664</v>
      </c>
      <c r="K988" s="530">
        <f>SUM(SUMIFS(K:K,$D:$D,$D988,$E:$E,$E988,$F:$F,{"Serviced Accommodation","Non-Serviced Accommodation","SFR"}))</f>
        <v>31113.601295707846</v>
      </c>
      <c r="L988" s="530">
        <f>SUM(SUMIFS(L:L,$D:$D,$D988,$E:$E,$E988,$F:$F,{"Serviced Accommodation","Non-Serviced Accommodation","SFR"}))</f>
        <v>32803.865048444968</v>
      </c>
      <c r="M988" s="530">
        <f>SUM(SUMIFS(M:M,$D:$D,$D988,$E:$E,$E988,$F:$F,{"Serviced Accommodation","Non-Serviced Accommodation","SFR"}))</f>
        <v>34222.945690691449</v>
      </c>
      <c r="N988" s="530">
        <f>SUM(SUMIFS(N:N,$D:$D,$D988,$E:$E,$E988,$F:$F,{"Serviced Accommodation","Non-Serviced Accommodation","SFR"}))</f>
        <v>38831.477444060001</v>
      </c>
      <c r="O988" s="530">
        <f>SUM(SUMIFS(O:O,$D:$D,$D988,$E:$E,$E988,$F:$F,{"Serviced Accommodation","Non-Serviced Accommodation","SFR"}))</f>
        <v>39417.505559651639</v>
      </c>
      <c r="P988" s="530">
        <f>SUM(SUMIFS(P:P,$D:$D,$D988,$E:$E,$E988,$F:$F,{"Serviced Accommodation","Non-Serviced Accommodation","SFR"}))</f>
        <v>31428.447633533317</v>
      </c>
      <c r="Q988" s="530">
        <f>SUM(SUMIFS(Q:Q,$D:$D,$D988,$E:$E,$E988,$F:$F,{"Serviced Accommodation","Non-Serviced Accommodation","SFR"}))</f>
        <v>29818.291357241895</v>
      </c>
      <c r="R988" s="530">
        <f>SUM(SUMIFS(R:R,$D:$D,$D988,$E:$E,$E988,$F:$F,{"Serviced Accommodation","Non-Serviced Accommodation","SFR"}))</f>
        <v>19740.194010341733</v>
      </c>
      <c r="S988" s="530">
        <f>SUM(SUMIFS(S:S,$D:$D,$D988,$E:$E,$E988,$F:$F,{"Serviced Accommodation","Non-Serviced Accommodation","SFR"}))</f>
        <v>17886.600941898501</v>
      </c>
      <c r="T988" s="530">
        <f>SUM(SUMIFS(T:T,$D:$D,$D988,$E:$E,$E988,$F:$F,{"Serviced Accommodation","Non-Serviced Accommodation","SFR"}))</f>
        <v>28469.894060000817</v>
      </c>
      <c r="U988" s="530" t="s">
        <v>59</v>
      </c>
    </row>
    <row r="989" spans="1:21" ht="12.75" customHeight="1" x14ac:dyDescent="0.3">
      <c r="A989" s="530" t="str">
        <f t="shared" si="40"/>
        <v>North Wales.2022.Visitor Days.Staying Visitor</v>
      </c>
      <c r="B989" s="530" t="s">
        <v>220</v>
      </c>
      <c r="C989" s="530" t="str">
        <f t="shared" si="41"/>
        <v>2022.Visitor Days.Staying Visitor</v>
      </c>
      <c r="D989" s="530" t="s">
        <v>248</v>
      </c>
      <c r="E989" s="530" t="s">
        <v>171</v>
      </c>
      <c r="F989" s="530" t="s">
        <v>140</v>
      </c>
      <c r="G989" s="530" t="s">
        <v>140</v>
      </c>
      <c r="H989" s="530">
        <f>SUM(SUMIFS(H:H,$D:$D,$D989,$E:$E,$E989,$F:$F,{"Serviced Accommodation","Non-Serviced Accommodation","SFR"}))</f>
        <v>1555.736126784273</v>
      </c>
      <c r="I989" s="530">
        <f>SUM(SUMIFS(I:I,$D:$D,$D989,$E:$E,$E989,$F:$F,{"Serviced Accommodation","Non-Serviced Accommodation","SFR"}))</f>
        <v>1659.3810535809912</v>
      </c>
      <c r="J989" s="530">
        <f>SUM(SUMIFS(J:J,$D:$D,$D989,$E:$E,$E989,$F:$F,{"Serviced Accommodation","Non-Serviced Accommodation","SFR"}))</f>
        <v>4297.2319816790705</v>
      </c>
      <c r="K989" s="530">
        <f>SUM(SUMIFS(K:K,$D:$D,$D989,$E:$E,$E989,$F:$F,{"Serviced Accommodation","Non-Serviced Accommodation","SFR"}))</f>
        <v>4793.3105153544511</v>
      </c>
      <c r="L989" s="530">
        <f>SUM(SUMIFS(L:L,$D:$D,$D989,$E:$E,$E989,$F:$F,{"Serviced Accommodation","Non-Serviced Accommodation","SFR"}))</f>
        <v>5210.431894275539</v>
      </c>
      <c r="M989" s="530">
        <f>SUM(SUMIFS(M:M,$D:$D,$D989,$E:$E,$E989,$F:$F,{"Serviced Accommodation","Non-Serviced Accommodation","SFR"}))</f>
        <v>5537.9860514773627</v>
      </c>
      <c r="N989" s="530">
        <f>SUM(SUMIFS(N:N,$D:$D,$D989,$E:$E,$E989,$F:$F,{"Serviced Accommodation","Non-Serviced Accommodation","SFR"}))</f>
        <v>6642.1117995688228</v>
      </c>
      <c r="O989" s="530">
        <f>SUM(SUMIFS(O:O,$D:$D,$D989,$E:$E,$E989,$F:$F,{"Serviced Accommodation","Non-Serviced Accommodation","SFR"}))</f>
        <v>6723.8766926903827</v>
      </c>
      <c r="P989" s="530">
        <f>SUM(SUMIFS(P:P,$D:$D,$D989,$E:$E,$E989,$F:$F,{"Serviced Accommodation","Non-Serviced Accommodation","SFR"}))</f>
        <v>4897.2643568875346</v>
      </c>
      <c r="Q989" s="530">
        <f>SUM(SUMIFS(Q:Q,$D:$D,$D989,$E:$E,$E989,$F:$F,{"Serviced Accommodation","Non-Serviced Accommodation","SFR"}))</f>
        <v>4517.7283904371543</v>
      </c>
      <c r="R989" s="530">
        <f>SUM(SUMIFS(R:R,$D:$D,$D989,$E:$E,$E989,$F:$F,{"Serviced Accommodation","Non-Serviced Accommodation","SFR"}))</f>
        <v>2193.3456656566959</v>
      </c>
      <c r="S989" s="530">
        <f>SUM(SUMIFS(S:S,$D:$D,$D989,$E:$E,$E989,$F:$F,{"Serviced Accommodation","Non-Serviced Accommodation","SFR"}))</f>
        <v>1779.5438855114903</v>
      </c>
      <c r="T989" s="530">
        <f>SUM(SUMIFS(T:T,$D:$D,$D989,$E:$E,$E989,$F:$F,{"Serviced Accommodation","Non-Serviced Accommodation","SFR"}))</f>
        <v>49807.948413903767</v>
      </c>
      <c r="U989" s="530" t="s">
        <v>61</v>
      </c>
    </row>
    <row r="990" spans="1:21" ht="12.75" customHeight="1" x14ac:dyDescent="0.3">
      <c r="A990" s="530" t="str">
        <f t="shared" si="40"/>
        <v>North Wales.2022.Visitor Numbers.Staying Visitor</v>
      </c>
      <c r="B990" s="530" t="s">
        <v>220</v>
      </c>
      <c r="C990" s="530" t="str">
        <f t="shared" si="41"/>
        <v>2022.Visitor Numbers.Staying Visitor</v>
      </c>
      <c r="D990" s="530" t="s">
        <v>248</v>
      </c>
      <c r="E990" s="530" t="s">
        <v>172</v>
      </c>
      <c r="F990" s="530" t="s">
        <v>140</v>
      </c>
      <c r="G990" s="530" t="s">
        <v>140</v>
      </c>
      <c r="H990" s="530">
        <f>SUM(SUMIFS(H:H,$D:$D,$D990,$E:$E,$E990,$F:$F,{"Serviced Accommodation","Non-Serviced Accommodation","SFR"}))</f>
        <v>557.02761249457967</v>
      </c>
      <c r="I990" s="530">
        <f>SUM(SUMIFS(I:I,$D:$D,$D990,$E:$E,$E990,$F:$F,{"Serviced Accommodation","Non-Serviced Accommodation","SFR"}))</f>
        <v>567.11563843560873</v>
      </c>
      <c r="J990" s="530">
        <f>SUM(SUMIFS(J:J,$D:$D,$D990,$E:$E,$E990,$F:$F,{"Serviced Accommodation","Non-Serviced Accommodation","SFR"}))</f>
        <v>1046.2624147040067</v>
      </c>
      <c r="K990" s="530">
        <f>SUM(SUMIFS(K:K,$D:$D,$D990,$E:$E,$E990,$F:$F,{"Serviced Accommodation","Non-Serviced Accommodation","SFR"}))</f>
        <v>990.78224603301067</v>
      </c>
      <c r="L990" s="530">
        <f>SUM(SUMIFS(L:L,$D:$D,$D990,$E:$E,$E990,$F:$F,{"Serviced Accommodation","Non-Serviced Accommodation","SFR"}))</f>
        <v>1027.8884195583692</v>
      </c>
      <c r="M990" s="530">
        <f>SUM(SUMIFS(M:M,$D:$D,$D990,$E:$E,$E990,$F:$F,{"Serviced Accommodation","Non-Serviced Accommodation","SFR"}))</f>
        <v>1067.0493342675718</v>
      </c>
      <c r="N990" s="530">
        <f>SUM(SUMIFS(N:N,$D:$D,$D990,$E:$E,$E990,$F:$F,{"Serviced Accommodation","Non-Serviced Accommodation","SFR"}))</f>
        <v>1265.2479181443287</v>
      </c>
      <c r="O990" s="530">
        <f>SUM(SUMIFS(O:O,$D:$D,$D990,$E:$E,$E990,$F:$F,{"Serviced Accommodation","Non-Serviced Accommodation","SFR"}))</f>
        <v>1244.8908470015579</v>
      </c>
      <c r="P990" s="530">
        <f>SUM(SUMIFS(P:P,$D:$D,$D990,$E:$E,$E990,$F:$F,{"Serviced Accommodation","Non-Serviced Accommodation","SFR"}))</f>
        <v>946.49259690931876</v>
      </c>
      <c r="Q990" s="530">
        <f>SUM(SUMIFS(Q:Q,$D:$D,$D990,$E:$E,$E990,$F:$F,{"Serviced Accommodation","Non-Serviced Accommodation","SFR"}))</f>
        <v>886.2137585118403</v>
      </c>
      <c r="R990" s="530">
        <f>SUM(SUMIFS(R:R,$D:$D,$D990,$E:$E,$E990,$F:$F,{"Serviced Accommodation","Non-Serviced Accommodation","SFR"}))</f>
        <v>671.97697035262581</v>
      </c>
      <c r="S990" s="530">
        <f>SUM(SUMIFS(S:S,$D:$D,$D990,$E:$E,$E990,$F:$F,{"Serviced Accommodation","Non-Serviced Accommodation","SFR"}))</f>
        <v>523.18014162962982</v>
      </c>
      <c r="T990" s="530">
        <f>SUM(SUMIFS(T:T,$D:$D,$D990,$E:$E,$E990,$F:$F,{"Serviced Accommodation","Non-Serviced Accommodation","SFR"}))</f>
        <v>10794.127898042447</v>
      </c>
      <c r="U990" s="530" t="s">
        <v>61</v>
      </c>
    </row>
    <row r="991" spans="1:21" ht="12.75" customHeight="1" x14ac:dyDescent="0.3">
      <c r="A991" s="530" t="str">
        <f t="shared" si="40"/>
        <v>North Wales.2022.Vehicle Days.Staying Visitor</v>
      </c>
      <c r="B991" s="530" t="s">
        <v>220</v>
      </c>
      <c r="C991" s="530" t="str">
        <f t="shared" si="41"/>
        <v>2022.Vehicle Days.Staying Visitor</v>
      </c>
      <c r="D991" s="530" t="s">
        <v>248</v>
      </c>
      <c r="E991" s="530" t="s">
        <v>21</v>
      </c>
      <c r="F991" s="530" t="s">
        <v>140</v>
      </c>
      <c r="G991" s="530" t="s">
        <v>140</v>
      </c>
      <c r="H991" s="530">
        <f>SUM(SUMIFS(H:H,$D:$D,$D991,$E:$E,$E991,$F:$F,{"Serviced Accommodation","Non-Serviced Accommodation","SFR"}))</f>
        <v>428.27122104794614</v>
      </c>
      <c r="I991" s="530">
        <f>SUM(SUMIFS(I:I,$D:$D,$D991,$E:$E,$E991,$F:$F,{"Serviced Accommodation","Non-Serviced Accommodation","SFR"}))</f>
        <v>534.8130863431935</v>
      </c>
      <c r="J991" s="530">
        <f>SUM(SUMIFS(J:J,$D:$D,$D991,$E:$E,$E991,$F:$F,{"Serviced Accommodation","Non-Serviced Accommodation","SFR"}))</f>
        <v>1205.289760208874</v>
      </c>
      <c r="K991" s="530">
        <f>SUM(SUMIFS(K:K,$D:$D,$D991,$E:$E,$E991,$F:$F,{"Serviced Accommodation","Non-Serviced Accommodation","SFR"}))</f>
        <v>1248.632375714503</v>
      </c>
      <c r="L991" s="530">
        <f>SUM(SUMIFS(L:L,$D:$D,$D991,$E:$E,$E991,$F:$F,{"Serviced Accommodation","Non-Serviced Accommodation","SFR"}))</f>
        <v>1391.8229015007701</v>
      </c>
      <c r="M991" s="530">
        <f>SUM(SUMIFS(M:M,$D:$D,$D991,$E:$E,$E991,$F:$F,{"Serviced Accommodation","Non-Serviced Accommodation","SFR"}))</f>
        <v>1495.6398557794328</v>
      </c>
      <c r="N991" s="530">
        <f>SUM(SUMIFS(N:N,$D:$D,$D991,$E:$E,$E991,$F:$F,{"Serviced Accommodation","Non-Serviced Accommodation","SFR"}))</f>
        <v>1701.8875068361333</v>
      </c>
      <c r="O991" s="530">
        <f>SUM(SUMIFS(O:O,$D:$D,$D991,$E:$E,$E991,$F:$F,{"Serviced Accommodation","Non-Serviced Accommodation","SFR"}))</f>
        <v>1689.6093081934926</v>
      </c>
      <c r="P991" s="530">
        <f>SUM(SUMIFS(P:P,$D:$D,$D991,$E:$E,$E991,$F:$F,{"Serviced Accommodation","Non-Serviced Accommodation","SFR"}))</f>
        <v>1293.6066560679667</v>
      </c>
      <c r="Q991" s="530">
        <f>SUM(SUMIFS(Q:Q,$D:$D,$D991,$E:$E,$E991,$F:$F,{"Serviced Accommodation","Non-Serviced Accommodation","SFR"}))</f>
        <v>1188.490804875632</v>
      </c>
      <c r="R991" s="530">
        <f>SUM(SUMIFS(R:R,$D:$D,$D991,$E:$E,$E991,$F:$F,{"Serviced Accommodation","Non-Serviced Accommodation","SFR"}))</f>
        <v>604.06887264110492</v>
      </c>
      <c r="S991" s="530">
        <f>SUM(SUMIFS(S:S,$D:$D,$D991,$E:$E,$E991,$F:$F,{"Serviced Accommodation","Non-Serviced Accommodation","SFR"}))</f>
        <v>449.09349595414312</v>
      </c>
      <c r="T991" s="530">
        <f>SUM(SUMIFS(T:T,$D:$D,$D991,$E:$E,$E991,$F:$F,{"Serviced Accommodation","Non-Serviced Accommodation","SFR"}))</f>
        <v>13231.225845163191</v>
      </c>
      <c r="U991" s="530" t="s">
        <v>61</v>
      </c>
    </row>
    <row r="992" spans="1:21" ht="12.75" customHeight="1" x14ac:dyDescent="0.3">
      <c r="A992" s="530" t="str">
        <f t="shared" si="40"/>
        <v>North Wales.2022.Vehicle Numbers.Staying Visitor</v>
      </c>
      <c r="B992" s="530" t="s">
        <v>220</v>
      </c>
      <c r="C992" s="530" t="str">
        <f t="shared" si="41"/>
        <v>2022.Vehicle Numbers.Staying Visitor</v>
      </c>
      <c r="D992" s="530" t="s">
        <v>248</v>
      </c>
      <c r="E992" s="530" t="s">
        <v>22</v>
      </c>
      <c r="F992" s="530" t="s">
        <v>140</v>
      </c>
      <c r="G992" s="530" t="s">
        <v>140</v>
      </c>
      <c r="H992" s="530">
        <f>SUM(SUMIFS(H:H,$D:$D,$D992,$E:$E,$E992,$F:$F,{"Serviced Accommodation","Non-Serviced Accommodation","SFR"}))</f>
        <v>153.65197440198915</v>
      </c>
      <c r="I992" s="530">
        <f>SUM(SUMIFS(I:I,$D:$D,$D992,$E:$E,$E992,$F:$F,{"Serviced Accommodation","Non-Serviced Accommodation","SFR"}))</f>
        <v>185.58801041054502</v>
      </c>
      <c r="J992" s="530">
        <f>SUM(SUMIFS(J:J,$D:$D,$D992,$E:$E,$E992,$F:$F,{"Serviced Accommodation","Non-Serviced Accommodation","SFR"}))</f>
        <v>303.24430867945927</v>
      </c>
      <c r="K992" s="530">
        <f>SUM(SUMIFS(K:K,$D:$D,$D992,$E:$E,$E992,$F:$F,{"Serviced Accommodation","Non-Serviced Accommodation","SFR"}))</f>
        <v>261.31728129197199</v>
      </c>
      <c r="L992" s="530">
        <f>SUM(SUMIFS(L:L,$D:$D,$D992,$E:$E,$E992,$F:$F,{"Serviced Accommodation","Non-Serviced Accommodation","SFR"}))</f>
        <v>280.08440814606303</v>
      </c>
      <c r="M992" s="530">
        <f>SUM(SUMIFS(M:M,$D:$D,$D992,$E:$E,$E992,$F:$F,{"Serviced Accommodation","Non-Serviced Accommodation","SFR"}))</f>
        <v>292.5165001629822</v>
      </c>
      <c r="N992" s="530">
        <f>SUM(SUMIFS(N:N,$D:$D,$D992,$E:$E,$E992,$F:$F,{"Serviced Accommodation","Non-Serviced Accommodation","SFR"}))</f>
        <v>328.66454673003568</v>
      </c>
      <c r="O992" s="530">
        <f>SUM(SUMIFS(O:O,$D:$D,$D992,$E:$E,$E992,$F:$F,{"Serviced Accommodation","Non-Serviced Accommodation","SFR"}))</f>
        <v>319.39672804411498</v>
      </c>
      <c r="P992" s="530">
        <f>SUM(SUMIFS(P:P,$D:$D,$D992,$E:$E,$E992,$F:$F,{"Serviced Accommodation","Non-Serviced Accommodation","SFR"}))</f>
        <v>252.45063987960322</v>
      </c>
      <c r="Q992" s="530">
        <f>SUM(SUMIFS(Q:Q,$D:$D,$D992,$E:$E,$E992,$F:$F,{"Serviced Accommodation","Non-Serviced Accommodation","SFR"}))</f>
        <v>243.13342620927273</v>
      </c>
      <c r="R992" s="530">
        <f>SUM(SUMIFS(R:R,$D:$D,$D992,$E:$E,$E992,$F:$F,{"Serviced Accommodation","Non-Serviced Accommodation","SFR"}))</f>
        <v>190.57847865639124</v>
      </c>
      <c r="S992" s="530">
        <f>SUM(SUMIFS(S:S,$D:$D,$D992,$E:$E,$E992,$F:$F,{"Serviced Accommodation","Non-Serviced Accommodation","SFR"}))</f>
        <v>136.41875201057567</v>
      </c>
      <c r="T992" s="530">
        <f>SUM(SUMIFS(T:T,$D:$D,$D992,$E:$E,$E992,$F:$F,{"Serviced Accommodation","Non-Serviced Accommodation","SFR"}))</f>
        <v>2947.045054623004</v>
      </c>
      <c r="U992" s="530" t="s">
        <v>61</v>
      </c>
    </row>
  </sheetData>
  <sheetProtection algorithmName="SHA-512" hashValue="uWIiefUgI2WXQ+97Nlz3no9HTGl7VqhmSh/UyKcALSW5GheGLX8c9zJvAqdRrLrJaGf8K01FvxywxvHNt3ifCA==" saltValue="G4XA4B6wQF4SdxeSsTg8jw==" spinCount="100000" sheet="1" objects="1" scenarios="1" autoFilter="0"/>
  <autoFilter ref="A8:U992" xr:uid="{00000000-0009-0000-0000-000012000000}">
    <filterColumn colId="0">
      <customFilters>
        <customFilter val="*"/>
      </customFilters>
    </filterColumn>
  </autoFilter>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GTS01">
    <tabColor rgb="FFFF0000"/>
  </sheetPr>
  <dimension ref="A1:P70"/>
  <sheetViews>
    <sheetView showGridLines="0" showRowColHeaders="0" showZeros="0" zoomScale="87" zoomScaleNormal="87" workbookViewId="0">
      <selection activeCell="O59" sqref="O59"/>
    </sheetView>
  </sheetViews>
  <sheetFormatPr defaultColWidth="18.6640625" defaultRowHeight="12.9" customHeight="1" x14ac:dyDescent="0.3"/>
  <cols>
    <col min="1" max="1" width="8.88671875" style="2" customWidth="1"/>
    <col min="2" max="2" width="2.88671875" style="2" customWidth="1"/>
    <col min="3" max="3" width="14.44140625" style="2" customWidth="1"/>
    <col min="4" max="4" width="21.109375" style="2" customWidth="1"/>
    <col min="5" max="7" width="12.109375" style="2" customWidth="1"/>
    <col min="8" max="8" width="3.33203125" style="2" customWidth="1"/>
    <col min="9" max="9" width="31.33203125" style="2" customWidth="1"/>
    <col min="10" max="10" width="24.44140625" style="2" customWidth="1"/>
    <col min="11" max="11" width="14.44140625" style="2" customWidth="1"/>
    <col min="12" max="14" width="8.88671875" style="2" customWidth="1"/>
    <col min="15" max="15" width="23.44140625" style="2" customWidth="1"/>
    <col min="16" max="16" width="21.33203125" style="2" customWidth="1"/>
    <col min="17" max="16384" width="18.6640625" style="2"/>
  </cols>
  <sheetData>
    <row r="1" spans="1:16" ht="13.8" x14ac:dyDescent="0.3">
      <c r="A1" s="9" t="str">
        <f ca="1">MID(CELL("filename",A1),FIND("]",CELL("filename",A1))+1,255)</f>
        <v>GTS_SHEET</v>
      </c>
    </row>
    <row r="2" spans="1:16" ht="15.6" x14ac:dyDescent="0.3">
      <c r="C2" s="788" t="s">
        <v>80</v>
      </c>
      <c r="D2" s="788"/>
      <c r="E2" s="788"/>
      <c r="F2" s="788"/>
      <c r="G2" s="788"/>
      <c r="I2" s="792" t="s">
        <v>13</v>
      </c>
      <c r="J2" s="792"/>
      <c r="K2" s="792"/>
      <c r="L2" s="792"/>
      <c r="M2" s="792"/>
      <c r="N2" s="792"/>
      <c r="O2" s="792"/>
      <c r="P2" s="792"/>
    </row>
    <row r="3" spans="1:16" ht="13.8" x14ac:dyDescent="0.3">
      <c r="C3" s="3" t="s">
        <v>1</v>
      </c>
      <c r="D3" s="19" t="s">
        <v>0</v>
      </c>
      <c r="E3" s="4"/>
      <c r="F3" s="4"/>
      <c r="G3" s="4"/>
      <c r="I3" s="3" t="s">
        <v>9</v>
      </c>
      <c r="J3" s="1" t="str">
        <f>UPPER(REP.product&amp;" "&amp;REP.reporttype&amp;" for "&amp;MIN(REP.yearsrange)&amp;"-"&amp;MAX(REP.yearsrange))</f>
        <v>STEAM FINAL TREND REPORT FOR 2011-2022</v>
      </c>
      <c r="K3" s="1"/>
      <c r="L3" s="1"/>
      <c r="M3" s="1"/>
      <c r="N3" s="1"/>
      <c r="O3" s="1"/>
      <c r="P3" s="1"/>
    </row>
    <row r="4" spans="1:16" ht="13.8" x14ac:dyDescent="0.3">
      <c r="C4" s="3" t="s">
        <v>2</v>
      </c>
      <c r="D4" s="19" t="s">
        <v>3</v>
      </c>
      <c r="E4" s="4"/>
      <c r="F4" s="4"/>
      <c r="G4" s="4"/>
      <c r="I4" s="3" t="s">
        <v>10</v>
      </c>
      <c r="J4" s="1" t="str">
        <f>UPPER(IF(ISBLANK(REP.authority),REP.subzone,IF(ISBLANK(REP.subzone),REP.authority,REP.authority&amp;" - "&amp;REP.subzone)))</f>
        <v>NORTH WALES</v>
      </c>
      <c r="K4" s="1"/>
      <c r="L4" s="1"/>
      <c r="M4" s="1"/>
      <c r="N4" s="1"/>
      <c r="O4" s="1"/>
      <c r="P4" s="1"/>
    </row>
    <row r="5" spans="1:16" ht="13.8" x14ac:dyDescent="0.3">
      <c r="C5" s="3" t="s">
        <v>4</v>
      </c>
      <c r="D5" s="19" t="str">
        <f>REP.status&amp;" Trend Report"</f>
        <v>Final Trend Report</v>
      </c>
      <c r="E5" s="4"/>
      <c r="F5" s="4"/>
      <c r="G5" s="4"/>
      <c r="I5" s="3" t="s">
        <v>11</v>
      </c>
      <c r="J5" s="1" t="str">
        <f>"This report is copyright © "&amp;REP.gts&amp;" "&amp;YEAR(REP.issued)</f>
        <v>This report is copyright © Global Tourism Solutions (UK) Ltd 2023</v>
      </c>
      <c r="K5" s="1"/>
      <c r="L5" s="1"/>
      <c r="M5" s="1"/>
      <c r="N5" s="1"/>
      <c r="O5" s="1"/>
      <c r="P5" s="1"/>
    </row>
    <row r="6" spans="1:16" ht="13.8" x14ac:dyDescent="0.3">
      <c r="C6" s="3" t="s">
        <v>5</v>
      </c>
      <c r="D6" s="689" t="s">
        <v>204</v>
      </c>
      <c r="E6" s="680"/>
      <c r="F6" s="680"/>
      <c r="G6" s="680"/>
      <c r="I6" s="3" t="s">
        <v>12</v>
      </c>
      <c r="J6" s="1" t="str">
        <f>"Report Prepared by: "&amp;REP.user&amp;". Date of Issue: "&amp;TEXT(REP.issued,"DD/MM/YY")</f>
        <v>Report Prepared by: Cathy James. Date of Issue: 05/09/23</v>
      </c>
      <c r="K6" s="1"/>
      <c r="L6" s="1"/>
      <c r="M6" s="1"/>
      <c r="N6" s="1"/>
      <c r="O6" s="1"/>
      <c r="P6" s="1"/>
    </row>
    <row r="7" spans="1:16" ht="13.8" x14ac:dyDescent="0.3">
      <c r="C7" s="3" t="s">
        <v>6</v>
      </c>
      <c r="D7" s="689"/>
      <c r="E7" s="680"/>
      <c r="F7" s="680"/>
      <c r="G7" s="680"/>
    </row>
    <row r="8" spans="1:16" ht="13.8" x14ac:dyDescent="0.3">
      <c r="C8" s="3" t="s">
        <v>7</v>
      </c>
      <c r="D8" s="682" t="s">
        <v>203</v>
      </c>
      <c r="E8" s="680"/>
      <c r="F8" s="680"/>
      <c r="G8" s="680"/>
      <c r="I8" s="3" t="s">
        <v>40</v>
      </c>
      <c r="J8" s="33">
        <f>INDEX(rep.percenthighlightchoices,rep.percenthighlightno)</f>
        <v>0.03</v>
      </c>
      <c r="K8" s="22">
        <v>1</v>
      </c>
      <c r="L8" s="57">
        <v>0.03</v>
      </c>
    </row>
    <row r="9" spans="1:16" ht="13.8" x14ac:dyDescent="0.3">
      <c r="C9" s="3" t="s">
        <v>8</v>
      </c>
      <c r="D9" s="681">
        <v>45174</v>
      </c>
      <c r="E9" s="680"/>
      <c r="F9" s="680"/>
      <c r="G9" s="680"/>
      <c r="I9" s="3" t="s">
        <v>107</v>
      </c>
      <c r="J9" s="1" t="str">
        <f>"A Fall of "&amp;TEXT(REP.percenthighlight,"0%")&amp;" or more"</f>
        <v>A Fall of 3% or more</v>
      </c>
      <c r="L9" s="57">
        <v>0.05</v>
      </c>
    </row>
    <row r="10" spans="1:16" ht="13.8" x14ac:dyDescent="0.3">
      <c r="C10" s="3" t="s">
        <v>65</v>
      </c>
      <c r="D10" s="682" t="s">
        <v>68</v>
      </c>
      <c r="E10" s="680"/>
      <c r="F10" s="680"/>
      <c r="G10" s="680"/>
      <c r="I10" s="3" t="s">
        <v>108</v>
      </c>
      <c r="J10" s="1" t="str">
        <f>"An increase of "&amp;TEXT(REP.percenthighlight,"0%")&amp;" or more"</f>
        <v>An increase of 3% or more</v>
      </c>
      <c r="L10" s="57">
        <v>0.1</v>
      </c>
    </row>
    <row r="11" spans="1:16" ht="13.8" x14ac:dyDescent="0.3">
      <c r="C11" s="3" t="s">
        <v>67</v>
      </c>
      <c r="D11" s="685" t="s">
        <v>68</v>
      </c>
      <c r="E11" s="1"/>
      <c r="F11" s="1"/>
      <c r="G11" s="1"/>
      <c r="I11" s="3" t="s">
        <v>109</v>
      </c>
      <c r="J11" s="1" t="str">
        <f>"Less than "&amp;TEXT(REP.percenthighlight,"0%")&amp;" change"</f>
        <v>Less than 3% change</v>
      </c>
      <c r="L11" s="57">
        <v>0.15</v>
      </c>
    </row>
    <row r="12" spans="1:16" ht="13.8" x14ac:dyDescent="0.3">
      <c r="C12" s="3"/>
      <c r="D12" s="685" t="s">
        <v>66</v>
      </c>
      <c r="E12" s="1"/>
      <c r="F12" s="1"/>
      <c r="G12" s="1"/>
    </row>
    <row r="13" spans="1:16" ht="13.8" x14ac:dyDescent="0.3">
      <c r="C13" s="3"/>
      <c r="D13" s="685" t="s">
        <v>170</v>
      </c>
      <c r="E13" s="1"/>
      <c r="F13" s="1"/>
      <c r="G13" s="1"/>
      <c r="J13" s="34"/>
    </row>
    <row r="14" spans="1:16" ht="13.8" x14ac:dyDescent="0.3">
      <c r="C14" s="3" t="s">
        <v>103</v>
      </c>
      <c r="D14" s="682" t="s">
        <v>205</v>
      </c>
      <c r="E14" s="680"/>
      <c r="F14" s="680"/>
      <c r="G14" s="680"/>
    </row>
    <row r="15" spans="1:16" ht="13.8" x14ac:dyDescent="0.3">
      <c r="C15" s="3" t="s">
        <v>104</v>
      </c>
      <c r="D15" s="685" t="str">
        <f>IF(REP.indexed="NO","UNINDEXED","INDEXED")</f>
        <v>UNINDEXED</v>
      </c>
      <c r="E15" s="1"/>
      <c r="F15" s="1"/>
      <c r="G15" s="1"/>
    </row>
    <row r="16" spans="1:16" ht="13.8" x14ac:dyDescent="0.3"/>
    <row r="17" spans="2:16" ht="15.6" x14ac:dyDescent="0.3">
      <c r="C17" s="12" t="s">
        <v>81</v>
      </c>
      <c r="D17" s="15" t="str">
        <f ca="1">"'"&amp;$A$1&amp;"'!"&amp;CELL("address",$D$19)&amp;":"&amp;CELL("address",OFFSET($D$19,COUNT(REP.yearsrange)-1,0))</f>
        <v>'GTS_SHEET'!$D$19:$D$30</v>
      </c>
      <c r="E17" s="12"/>
      <c r="F17" s="12"/>
      <c r="I17" s="15" t="s">
        <v>119</v>
      </c>
      <c r="J17" s="15" t="str">
        <f ca="1">"'"&amp;$A$1&amp;"'!"&amp;CELL("address",$J$20)&amp;":"&amp;CELL("address",OFFSET($J$20,COUNT(REP.yearsrange)-2,0))</f>
        <v>'GTS_SHEET'!$J$20:$J$30</v>
      </c>
      <c r="K17" s="15" t="str">
        <f ca="1">"'"&amp;$A$1&amp;"'!"&amp;CELL("address",$D$19)&amp;":"&amp;CELL("address",OFFSET($D$19,FOCUSYEAR.no-1,0))</f>
        <v>'GTS_SHEET'!$D$19:$D$30</v>
      </c>
      <c r="L17" s="15"/>
      <c r="M17" s="15"/>
    </row>
    <row r="18" spans="2:16" ht="36" customHeight="1" x14ac:dyDescent="0.3">
      <c r="B18" s="18" t="s">
        <v>64</v>
      </c>
      <c r="C18" s="679" t="s">
        <v>14</v>
      </c>
      <c r="D18" s="10" t="s">
        <v>16</v>
      </c>
      <c r="E18" s="11" t="s">
        <v>47</v>
      </c>
      <c r="F18" s="11" t="str">
        <f>"Indexation to Focus Year "&amp;"("&amp;FOCUSYEAR&amp;")"</f>
        <v>Indexation to Focus Year (2022)</v>
      </c>
      <c r="G18" s="11" t="str">
        <f>"Indexation to "&amp;MAX(REP.yearsrange)</f>
        <v>Indexation to 2022</v>
      </c>
      <c r="I18" s="11" t="s">
        <v>69</v>
      </c>
      <c r="J18" s="24" t="s">
        <v>70</v>
      </c>
      <c r="K18" s="790" t="s">
        <v>63</v>
      </c>
      <c r="L18" s="791"/>
      <c r="M18" s="791"/>
      <c r="O18" s="7" t="s">
        <v>84</v>
      </c>
    </row>
    <row r="19" spans="2:16" ht="13.8" x14ac:dyDescent="0.3">
      <c r="B19" s="8">
        <v>12</v>
      </c>
      <c r="C19" s="5">
        <v>1</v>
      </c>
      <c r="D19" s="683">
        <v>2011</v>
      </c>
      <c r="E19" s="786">
        <f ca="1">IF(D19="","",IFERROR(INDEX('SECTORAL ANALYSIS'!$G$10:$R$19,7,GTS_SHEET!$C19)/INDEX('SECTORAL ANALYSIS'!$G$10:$R$19,6,GTS_SHEET!$C19),0))</f>
        <v>0.2</v>
      </c>
      <c r="F19" s="6">
        <f t="array" ref="F19:F30">IFERROR(IF(REP.indexed="NO",1,INDEX(REP.indexationtable,MATCH(REP.yearsrange,'RPI13'!$A$1:$A$29,0),MATCH(FOCUSYEAR,'RPI13'!$A$1:$AC$1,0))),"")</f>
        <v>1</v>
      </c>
      <c r="G19" s="6">
        <f t="array" ref="G19:G30">IFERROR(IF(REP.indexed="NO",1,INDEX(REP.indexationtable,MATCH(REP.yearsrange,'RPI13'!$A$1:$A$29,0),MATCH(MAX(REP.yearsrange),'RPI13'!$A$1:$AC$1,0))),"")</f>
        <v>1</v>
      </c>
      <c r="I19" s="25" t="s">
        <v>73</v>
      </c>
      <c r="J19" s="26" t="str">
        <f>MIN(REP.yearsrange)&amp;" - "&amp;MAX(REP.yearsrange)-1</f>
        <v>2011 - 2021</v>
      </c>
      <c r="K19" s="16" t="str">
        <f>IF(J19="#N/A","",I19&amp;" "&amp;J19)</f>
        <v>the Average for 2011 - 2021</v>
      </c>
      <c r="L19" s="16"/>
      <c r="M19" s="16"/>
      <c r="O19" s="7" t="s">
        <v>85</v>
      </c>
    </row>
    <row r="20" spans="2:16" ht="13.8" x14ac:dyDescent="0.3">
      <c r="B20" s="8">
        <f>B19-1</f>
        <v>11</v>
      </c>
      <c r="C20" s="5">
        <v>2</v>
      </c>
      <c r="D20" s="683">
        <v>2012</v>
      </c>
      <c r="E20" s="786">
        <f ca="1">IF(D20="","",IFERROR(INDEX('SECTORAL ANALYSIS'!$G$10:$R$19,7,GTS_SHEET!$C20)/INDEX('SECTORAL ANALYSIS'!$G$10:$R$19,6,GTS_SHEET!$C20),0))</f>
        <v>0.20000000000000009</v>
      </c>
      <c r="F20" s="6">
        <v>1</v>
      </c>
      <c r="G20" s="6">
        <v>1</v>
      </c>
      <c r="I20" s="25"/>
      <c r="J20" s="26">
        <f t="array" ref="J20:J32">IF(OR(ISERROR(INDEX(REP.yearsrange,REP.yearnos)),ISBLANK(INDEX(REP.yearsrange,REP.yearnos)),INDEX(REP.yearsrange,REP.yearnos)=MAX(REP.yearsrange)),"",INDEX(REP.yearsrange,REP.yearnos))</f>
        <v>2011</v>
      </c>
      <c r="K20" s="16">
        <f>IF(ISNA(J20),"",J20)</f>
        <v>2011</v>
      </c>
      <c r="L20" s="16"/>
      <c r="M20" s="16"/>
      <c r="O20" s="7" t="s">
        <v>86</v>
      </c>
    </row>
    <row r="21" spans="2:16" ht="13.8" x14ac:dyDescent="0.3">
      <c r="B21" s="8">
        <f t="shared" ref="B21:B30" si="0">B20-1</f>
        <v>10</v>
      </c>
      <c r="C21" s="5">
        <v>3</v>
      </c>
      <c r="D21" s="683">
        <v>2013</v>
      </c>
      <c r="E21" s="786">
        <f ca="1">IF(D21="","",IFERROR(INDEX('SECTORAL ANALYSIS'!$G$10:$R$19,7,GTS_SHEET!$C21)/INDEX('SECTORAL ANALYSIS'!$G$10:$R$19,6,GTS_SHEET!$C21),0))</f>
        <v>0.2</v>
      </c>
      <c r="F21" s="6">
        <v>1</v>
      </c>
      <c r="G21" s="6">
        <v>1</v>
      </c>
      <c r="I21" s="25"/>
      <c r="J21" s="26">
        <v>2012</v>
      </c>
      <c r="K21" s="16">
        <f t="shared" ref="K21:K32" si="1">IF(ISNA(J21),"",J21)</f>
        <v>2012</v>
      </c>
      <c r="L21" s="16"/>
      <c r="M21" s="16"/>
      <c r="O21" s="31" t="s">
        <v>87</v>
      </c>
    </row>
    <row r="22" spans="2:16" ht="13.8" x14ac:dyDescent="0.3">
      <c r="B22" s="8">
        <f t="shared" si="0"/>
        <v>9</v>
      </c>
      <c r="C22" s="5">
        <v>4</v>
      </c>
      <c r="D22" s="683">
        <v>2014</v>
      </c>
      <c r="E22" s="786">
        <f ca="1">IF(D22="","",IFERROR(INDEX('SECTORAL ANALYSIS'!$G$10:$R$19,7,GTS_SHEET!$C22)/INDEX('SECTORAL ANALYSIS'!$G$10:$R$19,6,GTS_SHEET!$C22),0))</f>
        <v>0.19999999999999998</v>
      </c>
      <c r="F22" s="6">
        <v>1</v>
      </c>
      <c r="G22" s="6">
        <v>1</v>
      </c>
      <c r="I22" s="25" t="str">
        <f t="array" ref="I22:I31">IF(OR(ISERROR(INDEX(REP.yearsrange,REP.yearnos)),ISBLANK(INDEX(REP.yearsrange,REP.yearnos)),INDEX(REP.yearsrange,REP.yearnos)=MAX(REP.yearsrange)),"","")</f>
        <v/>
      </c>
      <c r="J22" s="27">
        <v>2013</v>
      </c>
      <c r="K22" s="16">
        <f t="shared" si="1"/>
        <v>2013</v>
      </c>
      <c r="L22" s="16"/>
      <c r="M22" s="16"/>
      <c r="N22" s="17"/>
      <c r="O22" s="32" t="s">
        <v>88</v>
      </c>
    </row>
    <row r="23" spans="2:16" ht="13.8" x14ac:dyDescent="0.3">
      <c r="B23" s="8">
        <f t="shared" si="0"/>
        <v>8</v>
      </c>
      <c r="C23" s="5">
        <v>5</v>
      </c>
      <c r="D23" s="683">
        <v>2015</v>
      </c>
      <c r="E23" s="786">
        <f ca="1">IF(D23="","",IFERROR(INDEX('SECTORAL ANALYSIS'!$G$10:$R$19,7,GTS_SHEET!$C23)/INDEX('SECTORAL ANALYSIS'!$G$10:$R$19,6,GTS_SHEET!$C23),0))</f>
        <v>0.2</v>
      </c>
      <c r="F23" s="6">
        <v>1</v>
      </c>
      <c r="G23" s="6">
        <v>1</v>
      </c>
      <c r="I23" s="25" t="str">
        <v/>
      </c>
      <c r="J23" s="27">
        <v>2014</v>
      </c>
      <c r="K23" s="16">
        <f t="shared" si="1"/>
        <v>2014</v>
      </c>
      <c r="L23" s="16"/>
      <c r="M23" s="16"/>
      <c r="N23" s="17"/>
    </row>
    <row r="24" spans="2:16" ht="13.8" x14ac:dyDescent="0.3">
      <c r="B24" s="8">
        <f t="shared" si="0"/>
        <v>7</v>
      </c>
      <c r="C24" s="5">
        <v>6</v>
      </c>
      <c r="D24" s="683">
        <v>2016</v>
      </c>
      <c r="E24" s="786">
        <f ca="1">IF(D24="","",IFERROR(INDEX('SECTORAL ANALYSIS'!$G$10:$R$19,7,GTS_SHEET!$C24)/INDEX('SECTORAL ANALYSIS'!$G$10:$R$19,6,GTS_SHEET!$C24),0))</f>
        <v>0.2</v>
      </c>
      <c r="F24" s="6">
        <v>1</v>
      </c>
      <c r="G24" s="6">
        <v>1</v>
      </c>
      <c r="I24" s="25" t="str">
        <v/>
      </c>
      <c r="J24" s="28">
        <v>2015</v>
      </c>
      <c r="K24" s="16">
        <f t="shared" si="1"/>
        <v>2015</v>
      </c>
      <c r="L24" s="16"/>
      <c r="M24" s="16"/>
      <c r="N24" s="17"/>
      <c r="O24" s="767" t="s">
        <v>193</v>
      </c>
    </row>
    <row r="25" spans="2:16" ht="13.8" x14ac:dyDescent="0.3">
      <c r="B25" s="8">
        <f t="shared" si="0"/>
        <v>6</v>
      </c>
      <c r="C25" s="5">
        <v>7</v>
      </c>
      <c r="D25" s="683">
        <v>2017</v>
      </c>
      <c r="E25" s="786">
        <f ca="1">IF(D25="","",IFERROR(INDEX('SECTORAL ANALYSIS'!$G$10:$R$19,7,GTS_SHEET!$C25)/INDEX('SECTORAL ANALYSIS'!$G$10:$R$19,6,GTS_SHEET!$C25),0))</f>
        <v>0.19999999999999998</v>
      </c>
      <c r="F25" s="6">
        <v>1</v>
      </c>
      <c r="G25" s="6">
        <v>1</v>
      </c>
      <c r="I25" s="25" t="str">
        <v/>
      </c>
      <c r="J25" s="28">
        <v>2016</v>
      </c>
      <c r="K25" s="16">
        <f t="shared" si="1"/>
        <v>2016</v>
      </c>
      <c r="L25" s="16"/>
      <c r="M25" s="16"/>
      <c r="N25" s="17"/>
      <c r="O25" s="767" t="s">
        <v>194</v>
      </c>
    </row>
    <row r="26" spans="2:16" ht="13.8" x14ac:dyDescent="0.3">
      <c r="B26" s="8">
        <f t="shared" si="0"/>
        <v>5</v>
      </c>
      <c r="C26" s="5">
        <v>8</v>
      </c>
      <c r="D26" s="683">
        <v>2018</v>
      </c>
      <c r="E26" s="786">
        <f ca="1">IF(D26="","",IFERROR(INDEX('SECTORAL ANALYSIS'!$G$10:$R$19,7,GTS_SHEET!$C26)/INDEX('SECTORAL ANALYSIS'!$G$10:$R$19,6,GTS_SHEET!$C26),0))</f>
        <v>0.19999999999999998</v>
      </c>
      <c r="F26" s="6">
        <v>1</v>
      </c>
      <c r="G26" s="6">
        <v>1</v>
      </c>
      <c r="I26" s="25" t="str">
        <v/>
      </c>
      <c r="J26" s="28">
        <v>2017</v>
      </c>
      <c r="K26" s="16">
        <f t="shared" si="1"/>
        <v>2017</v>
      </c>
      <c r="L26" s="16"/>
      <c r="M26" s="16"/>
      <c r="N26" s="17"/>
      <c r="O26" s="767" t="s">
        <v>195</v>
      </c>
    </row>
    <row r="27" spans="2:16" ht="13.8" x14ac:dyDescent="0.3">
      <c r="B27" s="8">
        <f t="shared" si="0"/>
        <v>4</v>
      </c>
      <c r="C27" s="5">
        <v>9</v>
      </c>
      <c r="D27" s="683">
        <v>2019</v>
      </c>
      <c r="E27" s="786">
        <f ca="1">IF(D27="","",IFERROR(INDEX('SECTORAL ANALYSIS'!$G$10:$R$19,7,GTS_SHEET!$C27)/INDEX('SECTORAL ANALYSIS'!$G$10:$R$19,6,GTS_SHEET!$C27),0))</f>
        <v>0.20000000000000007</v>
      </c>
      <c r="F27" s="6">
        <v>1</v>
      </c>
      <c r="G27" s="6">
        <v>1</v>
      </c>
      <c r="I27" s="25" t="str">
        <v/>
      </c>
      <c r="J27" s="28">
        <v>2018</v>
      </c>
      <c r="K27" s="16">
        <f t="shared" si="1"/>
        <v>2018</v>
      </c>
      <c r="L27" s="16"/>
      <c r="M27" s="16"/>
      <c r="N27" s="17"/>
      <c r="O27" s="767" t="s">
        <v>196</v>
      </c>
    </row>
    <row r="28" spans="2:16" ht="13.8" x14ac:dyDescent="0.3">
      <c r="B28" s="8">
        <f t="shared" si="0"/>
        <v>3</v>
      </c>
      <c r="C28" s="5">
        <v>10</v>
      </c>
      <c r="D28" s="683">
        <v>2020</v>
      </c>
      <c r="E28" s="786">
        <f ca="1">IF(D28="","",IFERROR(INDEX('SECTORAL ANALYSIS'!$G$10:$R$19,7,GTS_SHEET!$C28)/INDEX('SECTORAL ANALYSIS'!$G$10:$R$19,6,GTS_SHEET!$C28),0))</f>
        <v>0.14554500450394212</v>
      </c>
      <c r="F28" s="6">
        <v>1</v>
      </c>
      <c r="G28" s="6">
        <v>1</v>
      </c>
      <c r="I28" s="25" t="str">
        <v/>
      </c>
      <c r="J28" s="26">
        <v>2019</v>
      </c>
      <c r="K28" s="16">
        <f t="shared" si="1"/>
        <v>2019</v>
      </c>
      <c r="L28" s="16"/>
      <c r="M28" s="16"/>
      <c r="N28" s="17"/>
      <c r="O28" s="761" t="s">
        <v>0</v>
      </c>
      <c r="P28" s="761"/>
    </row>
    <row r="29" spans="2:16" ht="13.8" x14ac:dyDescent="0.3">
      <c r="B29" s="8">
        <f t="shared" si="0"/>
        <v>2</v>
      </c>
      <c r="C29" s="5">
        <v>11</v>
      </c>
      <c r="D29" s="683">
        <v>2021</v>
      </c>
      <c r="E29" s="786">
        <f ca="1">IF(D29="","",IFERROR(INDEX('SECTORAL ANALYSIS'!$G$10:$R$19,7,GTS_SHEET!$C29)/INDEX('SECTORAL ANALYSIS'!$G$10:$R$19,6,GTS_SHEET!$C29),0))</f>
        <v>0.1284031651383894</v>
      </c>
      <c r="F29" s="6">
        <v>1</v>
      </c>
      <c r="G29" s="6">
        <v>1</v>
      </c>
      <c r="I29" s="25" t="str">
        <v/>
      </c>
      <c r="J29" s="29">
        <v>2020</v>
      </c>
      <c r="K29" s="16">
        <f t="shared" si="1"/>
        <v>2020</v>
      </c>
      <c r="L29" s="16"/>
      <c r="M29" s="16"/>
      <c r="N29" s="17"/>
      <c r="O29" s="761" t="s">
        <v>98</v>
      </c>
      <c r="P29" s="761"/>
    </row>
    <row r="30" spans="2:16" ht="13.8" x14ac:dyDescent="0.3">
      <c r="B30" s="8">
        <f t="shared" si="0"/>
        <v>1</v>
      </c>
      <c r="C30" s="5">
        <v>12</v>
      </c>
      <c r="D30" s="683">
        <v>2022</v>
      </c>
      <c r="E30" s="786">
        <f ca="1">IF(D30="","",IFERROR(INDEX('SECTORAL ANALYSIS'!$G$10:$R$19,7,GTS_SHEET!$C30)/INDEX('SECTORAL ANALYSIS'!$G$10:$R$19,6,GTS_SHEET!$C30),0))</f>
        <v>0.19425499199898455</v>
      </c>
      <c r="F30" s="6">
        <v>1</v>
      </c>
      <c r="G30" s="6">
        <v>1</v>
      </c>
      <c r="I30" s="25" t="str">
        <v/>
      </c>
      <c r="J30" s="29">
        <v>2021</v>
      </c>
      <c r="K30" s="16">
        <f t="shared" si="1"/>
        <v>2021</v>
      </c>
      <c r="L30" s="16"/>
      <c r="M30" s="16"/>
      <c r="N30" s="17"/>
      <c r="O30" s="761" t="s">
        <v>99</v>
      </c>
      <c r="P30" s="761"/>
    </row>
    <row r="31" spans="2:16" ht="13.8" x14ac:dyDescent="0.3">
      <c r="C31" s="793" t="s">
        <v>62</v>
      </c>
      <c r="D31" s="793"/>
      <c r="E31" s="690">
        <v>2</v>
      </c>
      <c r="F31" s="686" t="str">
        <f>INDEX(REP.YN,INDEX.no)</f>
        <v>NO</v>
      </c>
      <c r="G31" s="684">
        <f>COUNT(REP.yearsrange)</f>
        <v>12</v>
      </c>
      <c r="I31" s="25" t="str">
        <v/>
      </c>
      <c r="J31" s="29" t="str">
        <v/>
      </c>
      <c r="K31" s="16" t="str">
        <f t="shared" si="1"/>
        <v/>
      </c>
      <c r="L31" s="16"/>
      <c r="M31" s="16"/>
      <c r="N31" s="17"/>
      <c r="O31" s="761" t="s">
        <v>100</v>
      </c>
      <c r="P31" s="761"/>
    </row>
    <row r="32" spans="2:16" ht="13.65" customHeight="1" x14ac:dyDescent="0.3">
      <c r="C32" s="789" t="s">
        <v>83</v>
      </c>
      <c r="D32" s="789"/>
      <c r="E32" s="789"/>
      <c r="F32" s="13" t="s">
        <v>41</v>
      </c>
      <c r="I32" s="25"/>
      <c r="J32" s="29" t="e">
        <v>#N/A</v>
      </c>
      <c r="K32" s="16" t="str">
        <f t="shared" si="1"/>
        <v/>
      </c>
      <c r="L32" s="16"/>
      <c r="M32" s="16"/>
      <c r="N32" s="17"/>
      <c r="O32" s="761" t="s">
        <v>101</v>
      </c>
      <c r="P32" s="761"/>
    </row>
    <row r="33" spans="3:16" ht="13.8" x14ac:dyDescent="0.3">
      <c r="C33" s="789"/>
      <c r="D33" s="789"/>
      <c r="E33" s="789"/>
      <c r="F33" s="14" t="s">
        <v>42</v>
      </c>
      <c r="I33" s="49" t="s">
        <v>119</v>
      </c>
      <c r="J33" s="692">
        <v>11</v>
      </c>
      <c r="K33" s="687">
        <f>COMPARISONYEAR</f>
        <v>2021</v>
      </c>
      <c r="L33" s="21"/>
      <c r="M33" s="21"/>
      <c r="N33" s="17"/>
      <c r="O33" s="761" t="s">
        <v>102</v>
      </c>
      <c r="P33" s="761"/>
    </row>
    <row r="34" spans="3:16" ht="12.9" customHeight="1" x14ac:dyDescent="0.3">
      <c r="I34" s="49" t="s">
        <v>125</v>
      </c>
      <c r="J34" s="692">
        <v>12</v>
      </c>
      <c r="K34" s="687">
        <f>FOCUSYEAR</f>
        <v>2022</v>
      </c>
      <c r="L34" s="21"/>
      <c r="M34" s="21"/>
      <c r="O34" s="761"/>
      <c r="P34" s="761"/>
    </row>
    <row r="35" spans="3:16" ht="12.9" customHeight="1" x14ac:dyDescent="0.3">
      <c r="I35" s="88" t="s">
        <v>134</v>
      </c>
      <c r="J35" s="693">
        <v>12</v>
      </c>
      <c r="K35" s="688">
        <f>CHARTYEAR</f>
        <v>2022</v>
      </c>
      <c r="L35" s="16"/>
      <c r="M35" s="16"/>
      <c r="O35" s="761" t="s">
        <v>147</v>
      </c>
      <c r="P35" s="761"/>
    </row>
    <row r="36" spans="3:16" ht="41.4" x14ac:dyDescent="0.3">
      <c r="C36" s="12" t="s">
        <v>82</v>
      </c>
      <c r="D36" s="12"/>
      <c r="E36" s="12"/>
      <c r="F36" s="12"/>
      <c r="G36" s="768">
        <v>3</v>
      </c>
      <c r="I36" s="81" t="s">
        <v>77</v>
      </c>
      <c r="J36" s="82"/>
      <c r="K36" s="83" t="s">
        <v>78</v>
      </c>
      <c r="L36" s="84"/>
      <c r="M36" s="84"/>
      <c r="O36" s="761" t="s">
        <v>148</v>
      </c>
      <c r="P36" s="761"/>
    </row>
    <row r="37" spans="3:16" ht="13.8" x14ac:dyDescent="0.3">
      <c r="C37" s="1"/>
      <c r="D37" s="1"/>
      <c r="E37" s="1"/>
      <c r="F37" s="1"/>
      <c r="O37" s="761" t="s">
        <v>174</v>
      </c>
      <c r="P37" s="761"/>
    </row>
    <row r="38" spans="3:16" ht="13.8" x14ac:dyDescent="0.3">
      <c r="C38" s="1" t="str">
        <f t="array" aca="1" ref="C38:C47" ca="1">INDIRECT("GTS_"&amp;INDEX($O$24:$O$27,$G$36))</f>
        <v>Global Tourism Solutions (UK) Ltd</v>
      </c>
      <c r="D38" s="1"/>
      <c r="E38" s="1"/>
      <c r="F38" s="1"/>
      <c r="O38" s="8"/>
    </row>
    <row r="39" spans="3:16" ht="13.8" x14ac:dyDescent="0.3">
      <c r="C39" s="1" t="str">
        <f ca="1"/>
        <v xml:space="preserve">71 Heol Gwys </v>
      </c>
      <c r="D39" s="1"/>
      <c r="E39" s="1"/>
      <c r="F39" s="1"/>
      <c r="O39" s="762" t="s">
        <v>0</v>
      </c>
      <c r="P39" s="762"/>
    </row>
    <row r="40" spans="3:16" ht="15.6" x14ac:dyDescent="0.3">
      <c r="C40" s="1" t="str">
        <f ca="1"/>
        <v xml:space="preserve">Upper Cwmtwrch </v>
      </c>
      <c r="D40" s="1"/>
      <c r="E40" s="1"/>
      <c r="F40" s="1"/>
      <c r="I40" s="15" t="s">
        <v>72</v>
      </c>
      <c r="J40" s="15"/>
      <c r="O40" s="762" t="s">
        <v>187</v>
      </c>
      <c r="P40" s="762"/>
    </row>
    <row r="41" spans="3:16" ht="13.8" x14ac:dyDescent="0.3">
      <c r="C41" s="1" t="str">
        <f ca="1"/>
        <v xml:space="preserve">Swansea </v>
      </c>
      <c r="D41" s="1"/>
      <c r="E41" s="1"/>
      <c r="F41" s="1"/>
      <c r="I41" s="23" t="s">
        <v>69</v>
      </c>
      <c r="J41" s="11" t="s">
        <v>79</v>
      </c>
      <c r="L41" s="30"/>
      <c r="M41" s="30"/>
      <c r="O41" s="762" t="s">
        <v>188</v>
      </c>
      <c r="P41" s="762"/>
    </row>
    <row r="42" spans="3:16" ht="13.8" x14ac:dyDescent="0.3">
      <c r="C42" s="1" t="str">
        <f ca="1"/>
        <v>SA9 2XH</v>
      </c>
      <c r="D42" s="1"/>
      <c r="E42" s="1"/>
      <c r="F42" s="1"/>
      <c r="I42" s="20" t="s">
        <v>54</v>
      </c>
      <c r="J42" s="1" t="s">
        <v>23</v>
      </c>
      <c r="K42" s="2">
        <v>1</v>
      </c>
      <c r="O42" s="762" t="s">
        <v>189</v>
      </c>
      <c r="P42" s="762"/>
    </row>
    <row r="43" spans="3:16" ht="13.8" x14ac:dyDescent="0.3">
      <c r="C43" s="1">
        <f ca="1"/>
        <v>0</v>
      </c>
      <c r="D43" s="1"/>
      <c r="E43" s="1"/>
      <c r="F43" s="1"/>
      <c r="I43" s="20" t="s">
        <v>43</v>
      </c>
      <c r="J43" s="1" t="s">
        <v>23</v>
      </c>
      <c r="K43" s="2">
        <v>2</v>
      </c>
      <c r="O43" s="762" t="s">
        <v>190</v>
      </c>
      <c r="P43" s="762"/>
    </row>
    <row r="44" spans="3:16" ht="13.8" x14ac:dyDescent="0.3">
      <c r="C44" s="1">
        <f ca="1"/>
        <v>0</v>
      </c>
      <c r="D44" s="1"/>
      <c r="E44" s="1"/>
      <c r="F44" s="1"/>
      <c r="I44" s="20" t="s">
        <v>48</v>
      </c>
      <c r="J44" s="1" t="s">
        <v>23</v>
      </c>
      <c r="K44" s="2">
        <v>3</v>
      </c>
      <c r="O44" s="762" t="s">
        <v>191</v>
      </c>
      <c r="P44" s="762"/>
    </row>
    <row r="45" spans="3:16" ht="13.8" x14ac:dyDescent="0.3">
      <c r="C45" s="1" t="str">
        <f ca="1"/>
        <v>Telephone: 0798 445 5388</v>
      </c>
      <c r="D45" s="1"/>
      <c r="E45" s="1"/>
      <c r="F45" s="1"/>
      <c r="I45" s="20" t="s">
        <v>18</v>
      </c>
      <c r="J45" s="1"/>
      <c r="K45" s="2">
        <v>4</v>
      </c>
      <c r="O45" s="762"/>
      <c r="P45" s="762"/>
    </row>
    <row r="46" spans="3:16" ht="13.8" x14ac:dyDescent="0.3">
      <c r="C46" s="1" t="str">
        <f ca="1"/>
        <v>Email: cathryn.j@gtsuk.co.uk</v>
      </c>
      <c r="D46" s="1"/>
      <c r="E46" s="1"/>
      <c r="F46" s="1"/>
      <c r="I46" s="20" t="s">
        <v>140</v>
      </c>
      <c r="K46" s="2">
        <v>5</v>
      </c>
      <c r="O46" s="762" t="s">
        <v>192</v>
      </c>
      <c r="P46" s="762"/>
    </row>
    <row r="47" spans="3:16" ht="13.8" x14ac:dyDescent="0.3">
      <c r="C47" s="1" t="str">
        <f ca="1"/>
        <v>Website: www.globaltourismsolutions.co.uk</v>
      </c>
      <c r="D47" s="1"/>
      <c r="E47" s="1"/>
      <c r="F47" s="1"/>
      <c r="I47" s="20" t="s">
        <v>71</v>
      </c>
      <c r="J47" s="1" t="s">
        <v>23</v>
      </c>
      <c r="K47" s="2">
        <v>6</v>
      </c>
      <c r="O47" s="762" t="s">
        <v>181</v>
      </c>
      <c r="P47" s="762"/>
    </row>
    <row r="48" spans="3:16" ht="13.8" x14ac:dyDescent="0.3">
      <c r="C48" s="1"/>
      <c r="D48" s="1"/>
      <c r="E48" s="1"/>
      <c r="F48" s="1"/>
      <c r="I48" s="80" t="s">
        <v>76</v>
      </c>
      <c r="J48" s="691">
        <v>1</v>
      </c>
      <c r="O48" s="762" t="s">
        <v>174</v>
      </c>
      <c r="P48" s="762"/>
    </row>
    <row r="49" spans="9:16" ht="13.8" x14ac:dyDescent="0.3">
      <c r="I49" s="1" t="str">
        <f>INDEX(TYPE.choices,TYPE.no)</f>
        <v>Total</v>
      </c>
      <c r="J49" s="1" t="str">
        <f>VLOOKUP(TYPE.userselected,$I$42:$J$47,2,FALSE)</f>
        <v>Accommodation</v>
      </c>
      <c r="O49" s="8"/>
    </row>
    <row r="50" spans="9:16" ht="12.9" customHeight="1" x14ac:dyDescent="0.3">
      <c r="O50" s="763" t="s">
        <v>0</v>
      </c>
      <c r="P50" s="764"/>
    </row>
    <row r="51" spans="9:16" ht="12.9" customHeight="1" x14ac:dyDescent="0.3">
      <c r="O51" s="763" t="s">
        <v>197</v>
      </c>
      <c r="P51" s="764"/>
    </row>
    <row r="52" spans="9:16" ht="12.9" customHeight="1" x14ac:dyDescent="0.3">
      <c r="O52" s="763" t="s">
        <v>198</v>
      </c>
      <c r="P52" s="764"/>
    </row>
    <row r="53" spans="9:16" ht="12.9" customHeight="1" x14ac:dyDescent="0.3">
      <c r="O53" s="763" t="s">
        <v>199</v>
      </c>
      <c r="P53" s="764"/>
    </row>
    <row r="54" spans="9:16" ht="12.9" customHeight="1" x14ac:dyDescent="0.3">
      <c r="O54" s="763" t="s">
        <v>185</v>
      </c>
      <c r="P54" s="764"/>
    </row>
    <row r="55" spans="9:16" ht="12.9" customHeight="1" x14ac:dyDescent="0.3">
      <c r="O55" s="763"/>
      <c r="P55" s="764"/>
    </row>
    <row r="56" spans="9:16" ht="12.9" customHeight="1" x14ac:dyDescent="0.3">
      <c r="O56" s="763"/>
      <c r="P56" s="764"/>
    </row>
    <row r="57" spans="9:16" ht="12.9" customHeight="1" x14ac:dyDescent="0.3">
      <c r="O57" s="763" t="s">
        <v>186</v>
      </c>
      <c r="P57" s="764"/>
    </row>
    <row r="58" spans="9:16" ht="12.9" customHeight="1" x14ac:dyDescent="0.3">
      <c r="O58" s="763" t="s">
        <v>206</v>
      </c>
      <c r="P58" s="764"/>
    </row>
    <row r="59" spans="9:16" ht="12.9" customHeight="1" x14ac:dyDescent="0.3">
      <c r="O59" s="763" t="s">
        <v>174</v>
      </c>
      <c r="P59" s="764"/>
    </row>
    <row r="60" spans="9:16" ht="12.9" customHeight="1" x14ac:dyDescent="0.3">
      <c r="O60" s="8"/>
    </row>
    <row r="61" spans="9:16" ht="12.9" customHeight="1" x14ac:dyDescent="0.3">
      <c r="O61" s="765" t="s">
        <v>0</v>
      </c>
      <c r="P61" s="766"/>
    </row>
    <row r="62" spans="9:16" ht="12.9" customHeight="1" x14ac:dyDescent="0.3">
      <c r="O62" s="765" t="s">
        <v>200</v>
      </c>
      <c r="P62" s="766"/>
    </row>
    <row r="63" spans="9:16" ht="12.9" customHeight="1" x14ac:dyDescent="0.3">
      <c r="O63" s="765" t="s">
        <v>201</v>
      </c>
      <c r="P63" s="766"/>
    </row>
    <row r="64" spans="9:16" ht="12.9" customHeight="1" x14ac:dyDescent="0.3">
      <c r="O64" s="765" t="s">
        <v>182</v>
      </c>
      <c r="P64" s="766"/>
    </row>
    <row r="65" spans="15:16" ht="12.9" customHeight="1" x14ac:dyDescent="0.3">
      <c r="O65" s="765" t="s">
        <v>202</v>
      </c>
      <c r="P65" s="766"/>
    </row>
    <row r="66" spans="15:16" ht="12.9" customHeight="1" x14ac:dyDescent="0.3">
      <c r="O66" s="765"/>
      <c r="P66" s="766"/>
    </row>
    <row r="67" spans="15:16" ht="12.9" customHeight="1" x14ac:dyDescent="0.3">
      <c r="O67" s="765"/>
      <c r="P67" s="766"/>
    </row>
    <row r="68" spans="15:16" ht="12.9" customHeight="1" x14ac:dyDescent="0.3">
      <c r="O68" s="765" t="s">
        <v>183</v>
      </c>
      <c r="P68" s="766"/>
    </row>
    <row r="69" spans="15:16" ht="12.9" customHeight="1" x14ac:dyDescent="0.3">
      <c r="O69" s="765" t="s">
        <v>184</v>
      </c>
      <c r="P69" s="766"/>
    </row>
    <row r="70" spans="15:16" ht="12.9" customHeight="1" x14ac:dyDescent="0.3">
      <c r="O70" s="765" t="s">
        <v>174</v>
      </c>
      <c r="P70" s="766"/>
    </row>
  </sheetData>
  <sheetProtection algorithmName="SHA-512" hashValue="NRrDqmj0kn9PhZCJvQfU0KL84Jsg8VReC06+T1BkocITWqH04fl6dkv1VX1f9G5AMmZfgcEyFyb0LvMLYQfwzQ==" saltValue="JNHoc9Rr9OUuoaNYv0W9Xg==" spinCount="100000" sheet="1" objects="1" scenarios="1"/>
  <mergeCells count="5">
    <mergeCell ref="C2:G2"/>
    <mergeCell ref="C32:E33"/>
    <mergeCell ref="K18:M18"/>
    <mergeCell ref="I2:P2"/>
    <mergeCell ref="C31:D31"/>
  </mergeCells>
  <conditionalFormatting sqref="E19:E30">
    <cfRule type="expression" dxfId="195" priority="1" stopIfTrue="1">
      <formula>AND(ISNUMBER(D19),D19=2009,E19=0.15)</formula>
    </cfRule>
    <cfRule type="expression" dxfId="194" priority="2" stopIfTrue="1">
      <formula>AND(ISNUMBER(D19),D19&gt;2010,E19=0.2)</formula>
    </cfRule>
    <cfRule type="expression" dxfId="193" priority="3" stopIfTrue="1">
      <formula>AND(ISNUMBER(D19),NOT(D19=2009),NOT(D19&gt;2010),E19=0.175)</formula>
    </cfRule>
    <cfRule type="expression" dxfId="192" priority="4" stopIfTrue="1">
      <formula>NOT(ISNUMBER(D19))</formula>
    </cfRule>
  </conditionalFormatting>
  <conditionalFormatting sqref="J24:J32">
    <cfRule type="containsErrors" dxfId="191" priority="13">
      <formula>ISERROR(J24)</formula>
    </cfRule>
    <cfRule type="containsBlanks" dxfId="190" priority="14">
      <formula>LEN(TRIM(J24))=0</formula>
    </cfRule>
  </conditionalFormatting>
  <dataValidations count="1">
    <dataValidation type="list" allowBlank="1" showInputMessage="1" showErrorMessage="1" sqref="D10" xr:uid="{00000000-0002-0000-0100-000000000000}">
      <formula1>$D$11:$D$13</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21" r:id="rId4" name="List Box 1">
              <controlPr defaultSize="0" autoLine="0" autoPict="0">
                <anchor moveWithCells="1">
                  <from>
                    <xdr:col>4</xdr:col>
                    <xdr:colOff>533400</xdr:colOff>
                    <xdr:row>36</xdr:row>
                    <xdr:rowOff>114300</xdr:rowOff>
                  </from>
                  <to>
                    <xdr:col>5</xdr:col>
                    <xdr:colOff>723900</xdr:colOff>
                    <xdr:row>39</xdr:row>
                    <xdr:rowOff>175260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06072-622E-430B-BF63-CAA48900641E}">
  <dimension ref="A1:A12"/>
  <sheetViews>
    <sheetView workbookViewId="0"/>
  </sheetViews>
  <sheetFormatPr defaultRowHeight="13.8" x14ac:dyDescent="0.3"/>
  <sheetData>
    <row r="1" spans="1:1" x14ac:dyDescent="0.3">
      <c r="A1" t="s">
        <v>207</v>
      </c>
    </row>
    <row r="2" spans="1:1" x14ac:dyDescent="0.3">
      <c r="A2" t="s">
        <v>208</v>
      </c>
    </row>
    <row r="3" spans="1:1" x14ac:dyDescent="0.3">
      <c r="A3" t="s">
        <v>209</v>
      </c>
    </row>
    <row r="4" spans="1:1" x14ac:dyDescent="0.3">
      <c r="A4" t="s">
        <v>210</v>
      </c>
    </row>
    <row r="5" spans="1:1" x14ac:dyDescent="0.3">
      <c r="A5" t="s">
        <v>211</v>
      </c>
    </row>
    <row r="6" spans="1:1" x14ac:dyDescent="0.3">
      <c r="A6" t="s">
        <v>212</v>
      </c>
    </row>
    <row r="7" spans="1:1" x14ac:dyDescent="0.3">
      <c r="A7" t="s">
        <v>213</v>
      </c>
    </row>
    <row r="8" spans="1:1" x14ac:dyDescent="0.3">
      <c r="A8" t="s">
        <v>214</v>
      </c>
    </row>
    <row r="9" spans="1:1" x14ac:dyDescent="0.3">
      <c r="A9" t="s">
        <v>215</v>
      </c>
    </row>
    <row r="10" spans="1:1" x14ac:dyDescent="0.3">
      <c r="A10" t="s">
        <v>216</v>
      </c>
    </row>
    <row r="11" spans="1:1" x14ac:dyDescent="0.3">
      <c r="A11" t="s">
        <v>217</v>
      </c>
    </row>
    <row r="12" spans="1:1" x14ac:dyDescent="0.3">
      <c r="A12" t="s">
        <v>218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GTS03">
    <tabColor rgb="FFFFC000"/>
    <outlinePr showOutlineSymbols="0"/>
    <pageSetUpPr autoPageBreaks="0" fitToPage="1"/>
  </sheetPr>
  <dimension ref="A1:Z69"/>
  <sheetViews>
    <sheetView showGridLines="0" showRowColHeaders="0" showZeros="0" showOutlineSymbols="0" topLeftCell="A2" zoomScaleNormal="100" workbookViewId="0">
      <pane ySplit="6" topLeftCell="A8" activePane="bottomLeft" state="frozen"/>
      <selection activeCell="AC21" sqref="AC21"/>
      <selection pane="bottomLeft" activeCell="F11" sqref="F11"/>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PB</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559" t="str">
        <f>REP.title1</f>
        <v>STEAM FINAL TREND REPORT FOR 2011-2022</v>
      </c>
      <c r="F6" s="560"/>
      <c r="G6" s="560"/>
      <c r="H6" s="560"/>
      <c r="I6" s="560"/>
      <c r="J6" s="560"/>
      <c r="K6" s="560"/>
      <c r="L6" s="560"/>
      <c r="M6" s="560"/>
      <c r="N6" s="560"/>
      <c r="O6" s="560"/>
      <c r="P6" s="561"/>
      <c r="Q6" s="561"/>
      <c r="R6" s="561"/>
      <c r="S6" s="794" t="s">
        <v>167</v>
      </c>
      <c r="T6" s="795"/>
      <c r="U6" s="795"/>
      <c r="V6" s="795"/>
      <c r="W6" s="795"/>
      <c r="X6" s="796"/>
    </row>
    <row r="7" spans="1:26" ht="16.2" customHeight="1" thickBot="1" x14ac:dyDescent="0.35">
      <c r="E7" s="562" t="str">
        <f>REP.title2</f>
        <v>NORTH WALES</v>
      </c>
      <c r="F7" s="563"/>
      <c r="G7" s="563"/>
      <c r="H7" s="563"/>
      <c r="I7" s="564"/>
      <c r="J7" s="564"/>
      <c r="K7" s="564"/>
      <c r="L7" s="564"/>
      <c r="M7" s="564"/>
      <c r="N7" s="564"/>
      <c r="O7" s="565"/>
      <c r="P7" s="565"/>
      <c r="Q7" s="565"/>
      <c r="R7" s="565"/>
      <c r="S7" s="797"/>
      <c r="T7" s="798"/>
      <c r="U7" s="798"/>
      <c r="V7" s="798"/>
      <c r="W7" s="798"/>
      <c r="X7" s="799"/>
    </row>
    <row r="8" spans="1:26"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6" s="125" customFormat="1" ht="16.2" customHeight="1" thickTop="1" x14ac:dyDescent="0.3">
      <c r="E9" s="800" t="s">
        <v>249</v>
      </c>
      <c r="F9" s="801"/>
      <c r="G9" s="801"/>
      <c r="H9" s="801"/>
      <c r="I9" s="801"/>
      <c r="J9" s="801"/>
      <c r="K9" s="801"/>
      <c r="L9" s="801"/>
      <c r="M9" s="801"/>
      <c r="N9" s="801"/>
      <c r="O9" s="801"/>
      <c r="P9" s="801"/>
      <c r="Q9" s="801"/>
      <c r="R9" s="801"/>
      <c r="S9" s="801"/>
      <c r="T9" s="801"/>
      <c r="U9" s="801"/>
      <c r="V9" s="801"/>
      <c r="W9" s="801"/>
      <c r="X9" s="802"/>
    </row>
    <row r="10" spans="1:26" s="125" customFormat="1" ht="16.2" customHeight="1" thickBot="1" x14ac:dyDescent="0.35">
      <c r="E10" s="803"/>
      <c r="F10" s="804"/>
      <c r="G10" s="804"/>
      <c r="H10" s="804"/>
      <c r="I10" s="804"/>
      <c r="J10" s="804"/>
      <c r="K10" s="804"/>
      <c r="L10" s="804"/>
      <c r="M10" s="804"/>
      <c r="N10" s="804"/>
      <c r="O10" s="804"/>
      <c r="P10" s="804"/>
      <c r="Q10" s="804"/>
      <c r="R10" s="804"/>
      <c r="S10" s="804"/>
      <c r="T10" s="804"/>
      <c r="U10" s="804"/>
      <c r="V10" s="804"/>
      <c r="W10" s="804"/>
      <c r="X10" s="805"/>
    </row>
    <row r="11" spans="1:26" s="125" customFormat="1" ht="16.2" customHeight="1" thickTop="1" x14ac:dyDescent="0.3">
      <c r="E11" s="572" t="s">
        <v>166</v>
      </c>
      <c r="F11" s="578" t="str">
        <f t="array" ref="F11:F24">IFERROR(INDEX(TYPE.choices,{1;2;3;4;5;6;7;8;9;10;11;12;13;14}),"")</f>
        <v>Total</v>
      </c>
      <c r="G11" s="573"/>
      <c r="H11" s="573"/>
      <c r="I11" s="573"/>
      <c r="J11" s="573"/>
      <c r="K11" s="573"/>
      <c r="L11" s="573"/>
      <c r="M11" s="573"/>
      <c r="N11" s="573"/>
      <c r="O11" s="573"/>
      <c r="P11" s="573"/>
      <c r="Q11" s="573"/>
      <c r="R11" s="573"/>
      <c r="S11" s="573"/>
      <c r="T11" s="573"/>
      <c r="U11" s="573"/>
      <c r="V11" s="573"/>
      <c r="W11" s="573"/>
      <c r="X11" s="574"/>
    </row>
    <row r="12" spans="1:26" ht="16.2" customHeight="1" x14ac:dyDescent="0.3">
      <c r="E12" s="575"/>
      <c r="F12" s="578" t="str">
        <v>Serviced Accommodation</v>
      </c>
      <c r="G12" s="576"/>
      <c r="H12" s="576"/>
      <c r="I12" s="576"/>
      <c r="J12" s="576"/>
      <c r="K12" s="576"/>
      <c r="L12" s="576"/>
      <c r="M12" s="576"/>
      <c r="N12" s="576"/>
      <c r="O12" s="576"/>
      <c r="P12" s="576"/>
      <c r="Q12" s="576"/>
      <c r="R12" s="576"/>
      <c r="S12" s="576"/>
      <c r="T12" s="576"/>
      <c r="U12" s="576"/>
      <c r="V12" s="576"/>
      <c r="W12" s="576"/>
      <c r="X12" s="577"/>
    </row>
    <row r="13" spans="1:26" ht="16.2" customHeight="1" x14ac:dyDescent="0.3">
      <c r="E13" s="568"/>
      <c r="F13" s="578" t="str">
        <v>Non-Serviced Accommodation</v>
      </c>
      <c r="G13" s="569"/>
      <c r="H13" s="569"/>
      <c r="I13" s="569"/>
      <c r="J13" s="569"/>
      <c r="K13" s="569"/>
      <c r="L13" s="569"/>
      <c r="M13" s="569"/>
      <c r="N13" s="569"/>
      <c r="O13" s="569"/>
      <c r="P13" s="569"/>
      <c r="Q13" s="569"/>
      <c r="R13" s="569"/>
      <c r="S13" s="569"/>
      <c r="T13" s="569"/>
      <c r="U13" s="569"/>
      <c r="V13" s="569"/>
      <c r="W13" s="569"/>
      <c r="X13" s="570"/>
    </row>
    <row r="14" spans="1:26" ht="16.2" customHeight="1" x14ac:dyDescent="0.3">
      <c r="E14" s="568"/>
      <c r="F14" s="578" t="str">
        <v>SFR</v>
      </c>
      <c r="G14" s="569"/>
      <c r="H14" s="569"/>
      <c r="I14" s="569"/>
      <c r="J14" s="569"/>
      <c r="K14" s="569"/>
      <c r="L14" s="569"/>
      <c r="M14" s="569"/>
      <c r="N14" s="569"/>
      <c r="O14" s="569"/>
      <c r="P14" s="569"/>
      <c r="Q14" s="569"/>
      <c r="R14" s="569"/>
      <c r="S14" s="569"/>
      <c r="T14" s="569"/>
      <c r="U14" s="569"/>
      <c r="V14" s="569"/>
      <c r="W14" s="569"/>
      <c r="X14" s="570"/>
    </row>
    <row r="15" spans="1:26" ht="16.2" customHeight="1" x14ac:dyDescent="0.3">
      <c r="E15" s="568"/>
      <c r="F15" s="578" t="str">
        <v>Staying Visitor</v>
      </c>
      <c r="G15" s="569"/>
      <c r="H15" s="569"/>
      <c r="I15" s="569"/>
      <c r="J15" s="569"/>
      <c r="K15" s="569"/>
      <c r="L15" s="569"/>
      <c r="M15" s="569"/>
      <c r="N15" s="569"/>
      <c r="O15" s="569"/>
      <c r="P15" s="569"/>
      <c r="Q15" s="569"/>
      <c r="R15" s="569"/>
      <c r="S15" s="569"/>
      <c r="T15" s="569"/>
      <c r="U15" s="569"/>
      <c r="V15" s="569"/>
      <c r="W15" s="569"/>
      <c r="X15" s="570"/>
    </row>
    <row r="16" spans="1:26" ht="16.2" customHeight="1" x14ac:dyDescent="0.3">
      <c r="E16" s="568"/>
      <c r="F16" s="578" t="str">
        <v>Day Visitor</v>
      </c>
      <c r="G16" s="569"/>
      <c r="H16" s="569"/>
      <c r="I16" s="569"/>
      <c r="J16" s="569"/>
      <c r="K16" s="569"/>
      <c r="L16" s="569"/>
      <c r="M16" s="569"/>
      <c r="N16" s="569"/>
      <c r="O16" s="569"/>
      <c r="P16" s="569"/>
      <c r="Q16" s="569"/>
      <c r="R16" s="569"/>
      <c r="S16" s="569"/>
      <c r="T16" s="569"/>
      <c r="U16" s="569"/>
      <c r="V16" s="569"/>
      <c r="W16" s="569"/>
      <c r="X16" s="570"/>
      <c r="Y16" s="270"/>
      <c r="Z16" s="111" t="b">
        <f>K16&gt;1000000</f>
        <v>0</v>
      </c>
    </row>
    <row r="17" spans="4:24" ht="16.2" customHeight="1" x14ac:dyDescent="0.3">
      <c r="E17" s="568"/>
      <c r="F17" s="579" t="str">
        <v/>
      </c>
      <c r="G17" s="569"/>
      <c r="H17" s="569"/>
      <c r="I17" s="569"/>
      <c r="J17" s="569"/>
      <c r="K17" s="569"/>
      <c r="L17" s="569"/>
      <c r="M17" s="569"/>
      <c r="N17" s="569"/>
      <c r="O17" s="569"/>
      <c r="P17" s="569"/>
      <c r="Q17" s="569"/>
      <c r="R17" s="569"/>
      <c r="S17" s="569"/>
      <c r="T17" s="569"/>
      <c r="U17" s="569"/>
      <c r="V17" s="569"/>
      <c r="W17" s="569"/>
      <c r="X17" s="570"/>
    </row>
    <row r="18" spans="4:24" ht="16.2" customHeight="1" x14ac:dyDescent="0.3">
      <c r="E18" s="568"/>
      <c r="F18" s="579" t="str">
        <v/>
      </c>
      <c r="G18" s="569"/>
      <c r="H18" s="569"/>
      <c r="I18" s="569"/>
      <c r="J18" s="569"/>
      <c r="K18" s="569"/>
      <c r="L18" s="569"/>
      <c r="M18" s="569"/>
      <c r="N18" s="569"/>
      <c r="O18" s="569"/>
      <c r="P18" s="569"/>
      <c r="Q18" s="569"/>
      <c r="R18" s="569"/>
      <c r="S18" s="569"/>
      <c r="T18" s="569"/>
      <c r="U18" s="569"/>
      <c r="V18" s="569"/>
      <c r="W18" s="569"/>
      <c r="X18" s="570"/>
    </row>
    <row r="19" spans="4:24" ht="16.2" customHeight="1" x14ac:dyDescent="0.3">
      <c r="E19" s="568"/>
      <c r="F19" s="579" t="str">
        <v/>
      </c>
      <c r="G19" s="569"/>
      <c r="H19" s="569"/>
      <c r="I19" s="569"/>
      <c r="J19" s="569"/>
      <c r="K19" s="569"/>
      <c r="L19" s="569"/>
      <c r="M19" s="569"/>
      <c r="N19" s="569"/>
      <c r="O19" s="569"/>
      <c r="P19" s="569"/>
      <c r="Q19" s="569"/>
      <c r="R19" s="569"/>
      <c r="S19" s="569"/>
      <c r="T19" s="569"/>
      <c r="U19" s="569"/>
      <c r="V19" s="569"/>
      <c r="W19" s="569"/>
      <c r="X19" s="570"/>
    </row>
    <row r="20" spans="4:24" ht="16.2" customHeight="1" x14ac:dyDescent="0.3">
      <c r="E20" s="568"/>
      <c r="F20" s="579" t="str">
        <v/>
      </c>
      <c r="G20" s="569"/>
      <c r="H20" s="569"/>
      <c r="I20" s="569"/>
      <c r="J20" s="569"/>
      <c r="K20" s="569"/>
      <c r="L20" s="569"/>
      <c r="M20" s="569"/>
      <c r="N20" s="569"/>
      <c r="O20" s="569"/>
      <c r="P20" s="569"/>
      <c r="Q20" s="569"/>
      <c r="R20" s="569"/>
      <c r="S20" s="569"/>
      <c r="T20" s="569"/>
      <c r="U20" s="569"/>
      <c r="V20" s="569"/>
      <c r="W20" s="569"/>
      <c r="X20" s="570"/>
    </row>
    <row r="21" spans="4:24" ht="16.2" customHeight="1" x14ac:dyDescent="0.3">
      <c r="E21" s="568"/>
      <c r="F21" s="579" t="str">
        <v/>
      </c>
      <c r="G21" s="569"/>
      <c r="H21" s="569"/>
      <c r="I21" s="569"/>
      <c r="J21" s="569"/>
      <c r="K21" s="569"/>
      <c r="L21" s="569"/>
      <c r="M21" s="569"/>
      <c r="N21" s="569"/>
      <c r="O21" s="569"/>
      <c r="P21" s="569"/>
      <c r="Q21" s="569"/>
      <c r="R21" s="569"/>
      <c r="S21" s="569"/>
      <c r="T21" s="569"/>
      <c r="U21" s="569"/>
      <c r="V21" s="569"/>
      <c r="W21" s="569"/>
      <c r="X21" s="570"/>
    </row>
    <row r="22" spans="4:24" ht="16.2" customHeight="1" x14ac:dyDescent="0.3">
      <c r="E22" s="568"/>
      <c r="F22" s="579" t="str">
        <v/>
      </c>
      <c r="G22" s="569"/>
      <c r="H22" s="569"/>
      <c r="I22" s="569"/>
      <c r="J22" s="569"/>
      <c r="K22" s="569"/>
      <c r="L22" s="569"/>
      <c r="M22" s="569"/>
      <c r="N22" s="569"/>
      <c r="O22" s="569"/>
      <c r="P22" s="569"/>
      <c r="Q22" s="569"/>
      <c r="R22" s="569"/>
      <c r="S22" s="569"/>
      <c r="T22" s="569"/>
      <c r="U22" s="569"/>
      <c r="V22" s="569"/>
      <c r="W22" s="569"/>
      <c r="X22" s="570"/>
    </row>
    <row r="23" spans="4:24" ht="16.2" customHeight="1" x14ac:dyDescent="0.3">
      <c r="E23" s="568"/>
      <c r="F23" s="579" t="str">
        <v/>
      </c>
      <c r="G23" s="569"/>
      <c r="H23" s="569"/>
      <c r="I23" s="569"/>
      <c r="J23" s="569"/>
      <c r="K23" s="569"/>
      <c r="L23" s="569"/>
      <c r="M23" s="569"/>
      <c r="N23" s="569"/>
      <c r="O23" s="569"/>
      <c r="P23" s="569"/>
      <c r="Q23" s="569"/>
      <c r="R23" s="569"/>
      <c r="S23" s="569"/>
      <c r="T23" s="569"/>
      <c r="U23" s="569"/>
      <c r="V23" s="569"/>
      <c r="W23" s="569"/>
      <c r="X23" s="570"/>
    </row>
    <row r="24" spans="4:24" ht="16.2" customHeight="1" x14ac:dyDescent="0.3">
      <c r="E24" s="568"/>
      <c r="F24" s="579" t="str">
        <v/>
      </c>
      <c r="G24" s="569"/>
      <c r="H24" s="569"/>
      <c r="I24" s="569"/>
      <c r="J24" s="569"/>
      <c r="K24" s="569"/>
      <c r="L24" s="569"/>
      <c r="M24" s="569"/>
      <c r="N24" s="569"/>
      <c r="O24" s="569"/>
      <c r="P24" s="569"/>
      <c r="Q24" s="569"/>
      <c r="R24" s="569"/>
      <c r="S24" s="569"/>
      <c r="T24" s="569"/>
      <c r="U24" s="569"/>
      <c r="V24" s="569"/>
      <c r="W24" s="569"/>
      <c r="X24" s="570"/>
    </row>
    <row r="25" spans="4:24" ht="16.2" customHeight="1" x14ac:dyDescent="0.3">
      <c r="E25" s="568"/>
      <c r="F25" s="569"/>
      <c r="G25" s="569"/>
      <c r="H25" s="569"/>
      <c r="I25" s="569"/>
      <c r="J25" s="569"/>
      <c r="K25" s="569"/>
      <c r="L25" s="569"/>
      <c r="M25" s="569"/>
      <c r="N25" s="569"/>
      <c r="O25" s="569"/>
      <c r="P25" s="569"/>
      <c r="Q25" s="569"/>
      <c r="R25" s="569"/>
      <c r="S25" s="569"/>
      <c r="T25" s="569"/>
      <c r="U25" s="569"/>
      <c r="V25" s="569"/>
      <c r="W25" s="569"/>
      <c r="X25" s="570"/>
    </row>
    <row r="26" spans="4:24" ht="16.2" customHeight="1" x14ac:dyDescent="0.3">
      <c r="E26" s="568"/>
      <c r="F26" s="569"/>
      <c r="G26" s="569"/>
      <c r="H26" s="569"/>
      <c r="I26" s="569"/>
      <c r="J26" s="569"/>
      <c r="K26" s="569"/>
      <c r="L26" s="569"/>
      <c r="M26" s="569"/>
      <c r="N26" s="569"/>
      <c r="O26" s="569"/>
      <c r="P26" s="569"/>
      <c r="Q26" s="569"/>
      <c r="R26" s="569"/>
      <c r="S26" s="569"/>
      <c r="T26" s="569"/>
      <c r="U26" s="569"/>
      <c r="V26" s="569"/>
      <c r="W26" s="569"/>
      <c r="X26" s="570"/>
    </row>
    <row r="27" spans="4:24" ht="16.2" customHeight="1" x14ac:dyDescent="0.3">
      <c r="D27" s="196" t="str">
        <f ca="1">"'"&amp;$A$1&amp;"'!"&amp;CELL("address",G27)&amp;":"&amp;CELL("address",OFFSET(G27,0,COUNT(REP.yearsrange)-1))</f>
        <v>'PB'!$G$27:$R$27</v>
      </c>
      <c r="E27" s="568"/>
      <c r="F27" s="569"/>
      <c r="G27" s="569"/>
      <c r="H27" s="569"/>
      <c r="I27" s="569"/>
      <c r="J27" s="569"/>
      <c r="K27" s="569"/>
      <c r="L27" s="569"/>
      <c r="M27" s="569"/>
      <c r="N27" s="569"/>
      <c r="O27" s="569"/>
      <c r="P27" s="569"/>
      <c r="Q27" s="569"/>
      <c r="R27" s="569"/>
      <c r="S27" s="569"/>
      <c r="T27" s="569"/>
      <c r="U27" s="569"/>
      <c r="V27" s="569"/>
      <c r="W27" s="569"/>
      <c r="X27" s="570"/>
    </row>
    <row r="28" spans="4:24" ht="16.2" customHeight="1" x14ac:dyDescent="0.3">
      <c r="D28" s="196" t="str">
        <f ca="1">"'"&amp;$A$1&amp;"'!"&amp;CELL("address",G28)&amp;":"&amp;CELL("address",OFFSET(G28,0,COUNT(REP.yearsrange)-1))</f>
        <v>'PB'!$G$28:$R$28</v>
      </c>
      <c r="E28" s="568"/>
      <c r="F28" s="569"/>
      <c r="G28" s="569"/>
      <c r="H28" s="569"/>
      <c r="I28" s="569"/>
      <c r="J28" s="569"/>
      <c r="K28" s="569"/>
      <c r="L28" s="569"/>
      <c r="M28" s="569"/>
      <c r="N28" s="569"/>
      <c r="O28" s="569"/>
      <c r="P28" s="569"/>
      <c r="Q28" s="569"/>
      <c r="R28" s="569"/>
      <c r="S28" s="569"/>
      <c r="T28" s="569"/>
      <c r="U28" s="569"/>
      <c r="V28" s="569"/>
      <c r="W28" s="569"/>
      <c r="X28" s="570"/>
    </row>
    <row r="29" spans="4:24" ht="16.2" customHeight="1" x14ac:dyDescent="0.3">
      <c r="D29" s="196" t="str">
        <f ca="1">"'"&amp;$A$1&amp;"'!"&amp;CELL("address",G29)&amp;":"&amp;CELL("address",OFFSET(G29,0,COUNT(REP.yearsrange)-1))</f>
        <v>'PB'!$G$29:$R$29</v>
      </c>
      <c r="E29" s="568"/>
      <c r="F29" s="569"/>
      <c r="G29" s="569"/>
      <c r="H29" s="569"/>
      <c r="I29" s="569"/>
      <c r="J29" s="569"/>
      <c r="K29" s="569"/>
      <c r="L29" s="569"/>
      <c r="M29" s="569"/>
      <c r="N29" s="569"/>
      <c r="O29" s="569"/>
      <c r="P29" s="569"/>
      <c r="Q29" s="569"/>
      <c r="R29" s="569"/>
      <c r="S29" s="569"/>
      <c r="T29" s="569"/>
      <c r="U29" s="569"/>
      <c r="V29" s="569"/>
      <c r="W29" s="569"/>
      <c r="X29" s="570"/>
    </row>
    <row r="30" spans="4:24" ht="16.2" customHeight="1" x14ac:dyDescent="0.3">
      <c r="D30" s="196" t="str">
        <f ca="1">"'"&amp;$A$1&amp;"'!"&amp;CELL("address",G30)&amp;":"&amp;CELL("address",OFFSET(G30,0,COUNT(REP.yearsrange)-1))</f>
        <v>'PB'!$G$30:$R$30</v>
      </c>
      <c r="E30" s="568"/>
      <c r="F30" s="569"/>
      <c r="G30" s="569"/>
      <c r="H30" s="569"/>
      <c r="I30" s="569"/>
      <c r="J30" s="569"/>
      <c r="K30" s="569"/>
      <c r="L30" s="569"/>
      <c r="M30" s="569"/>
      <c r="N30" s="569"/>
      <c r="O30" s="569"/>
      <c r="P30" s="569"/>
      <c r="Q30" s="569"/>
      <c r="R30" s="569"/>
      <c r="S30" s="569"/>
      <c r="T30" s="569"/>
      <c r="U30" s="569"/>
      <c r="V30" s="569"/>
      <c r="W30" s="569"/>
      <c r="X30" s="570"/>
    </row>
    <row r="31" spans="4:24" ht="16.2" customHeight="1" x14ac:dyDescent="0.3">
      <c r="D31" s="196" t="str">
        <f ca="1">"'"&amp;$A$1&amp;"'!"&amp;CELL("address",G31)&amp;":"&amp;CELL("address",OFFSET(G31,0,COUNT(REP.yearsrange)-1))</f>
        <v>'PB'!$G$31:$R$31</v>
      </c>
      <c r="E31" s="568"/>
      <c r="F31" s="569"/>
      <c r="G31" s="569"/>
      <c r="H31" s="569"/>
      <c r="I31" s="569"/>
      <c r="J31" s="569"/>
      <c r="K31" s="569"/>
      <c r="L31" s="569"/>
      <c r="M31" s="569"/>
      <c r="N31" s="569"/>
      <c r="O31" s="569"/>
      <c r="P31" s="569"/>
      <c r="Q31" s="569"/>
      <c r="R31" s="569"/>
      <c r="S31" s="569"/>
      <c r="T31" s="569"/>
      <c r="U31" s="569"/>
      <c r="V31" s="569"/>
      <c r="W31" s="569"/>
      <c r="X31" s="570"/>
    </row>
    <row r="32" spans="4:24" ht="16.2" customHeight="1" x14ac:dyDescent="0.3">
      <c r="D32" s="196" t="str">
        <f ca="1">"'"&amp;$A$1&amp;"'!"&amp;CELL("address",G32)&amp;":"&amp;CELL("address",OFFSET(G32,0,COUNT(REP.yearsrange)-1))</f>
        <v>'PB'!$G$32:$R$32</v>
      </c>
      <c r="E32" s="568"/>
      <c r="F32" s="569"/>
      <c r="G32" s="569"/>
      <c r="H32" s="569"/>
      <c r="I32" s="569"/>
      <c r="J32" s="569"/>
      <c r="K32" s="569"/>
      <c r="L32" s="569"/>
      <c r="M32" s="569"/>
      <c r="N32" s="569"/>
      <c r="O32" s="569"/>
      <c r="P32" s="569"/>
      <c r="Q32" s="569"/>
      <c r="R32" s="569"/>
      <c r="S32" s="569"/>
      <c r="T32" s="569"/>
      <c r="U32" s="569"/>
      <c r="V32" s="569"/>
      <c r="W32" s="569"/>
      <c r="X32" s="570"/>
    </row>
    <row r="33" spans="4:24" ht="16.2" customHeight="1" x14ac:dyDescent="0.3">
      <c r="D33" s="196"/>
      <c r="E33" s="568"/>
      <c r="F33" s="569"/>
      <c r="G33" s="569"/>
      <c r="H33" s="569"/>
      <c r="I33" s="569"/>
      <c r="J33" s="569"/>
      <c r="K33" s="569"/>
      <c r="L33" s="569"/>
      <c r="M33" s="569"/>
      <c r="N33" s="569"/>
      <c r="O33" s="569"/>
      <c r="P33" s="569"/>
      <c r="Q33" s="569"/>
      <c r="R33" s="569"/>
      <c r="S33" s="569"/>
      <c r="T33" s="569"/>
      <c r="U33" s="569"/>
      <c r="V33" s="569"/>
      <c r="W33" s="569"/>
      <c r="X33" s="570"/>
    </row>
    <row r="34" spans="4:24" ht="16.2" customHeight="1" x14ac:dyDescent="0.3">
      <c r="D34" s="196"/>
      <c r="E34" s="568"/>
      <c r="F34" s="569"/>
      <c r="G34" s="569"/>
      <c r="H34" s="569"/>
      <c r="I34" s="569"/>
      <c r="J34" s="569"/>
      <c r="K34" s="569"/>
      <c r="L34" s="569"/>
      <c r="M34" s="569"/>
      <c r="N34" s="569"/>
      <c r="O34" s="569"/>
      <c r="P34" s="569"/>
      <c r="Q34" s="569"/>
      <c r="R34" s="569"/>
      <c r="S34" s="569"/>
      <c r="T34" s="569"/>
      <c r="U34" s="569"/>
      <c r="V34" s="569"/>
      <c r="W34" s="569"/>
      <c r="X34" s="570"/>
    </row>
    <row r="35" spans="4:24" ht="16.2" customHeight="1" x14ac:dyDescent="0.3">
      <c r="D35" s="196"/>
      <c r="E35" s="568"/>
      <c r="F35" s="569"/>
      <c r="G35" s="569"/>
      <c r="H35" s="569"/>
      <c r="I35" s="569"/>
      <c r="J35" s="569"/>
      <c r="K35" s="569"/>
      <c r="L35" s="569"/>
      <c r="M35" s="569"/>
      <c r="N35" s="569"/>
      <c r="O35" s="569"/>
      <c r="P35" s="569"/>
      <c r="Q35" s="569"/>
      <c r="R35" s="569"/>
      <c r="S35" s="569"/>
      <c r="T35" s="569"/>
      <c r="U35" s="569"/>
      <c r="V35" s="569"/>
      <c r="W35" s="569"/>
      <c r="X35" s="570"/>
    </row>
    <row r="36" spans="4:24" ht="16.2" customHeight="1" thickBot="1" x14ac:dyDescent="0.35">
      <c r="D36" s="196"/>
      <c r="E36" s="566"/>
      <c r="F36" s="567"/>
      <c r="G36" s="567"/>
      <c r="H36" s="567"/>
      <c r="I36" s="567"/>
      <c r="J36" s="567"/>
      <c r="K36" s="567"/>
      <c r="L36" s="567"/>
      <c r="M36" s="567"/>
      <c r="N36" s="567"/>
      <c r="O36" s="567"/>
      <c r="P36" s="567"/>
      <c r="Q36" s="567"/>
      <c r="R36" s="567"/>
      <c r="S36" s="567"/>
      <c r="T36" s="567"/>
      <c r="U36" s="567"/>
      <c r="V36" s="567"/>
      <c r="W36" s="567"/>
      <c r="X36" s="571"/>
    </row>
    <row r="37" spans="4:24" s="174" customFormat="1" ht="16.2" customHeight="1" thickTop="1" thickBot="1" x14ac:dyDescent="0.2">
      <c r="D37" s="170"/>
      <c r="E37" s="171" t="str">
        <f>REP.footer1</f>
        <v>This report is copyright © Global Tourism Solutions (UK) Ltd 2023</v>
      </c>
      <c r="F37" s="172"/>
      <c r="G37" s="172"/>
      <c r="H37" s="172"/>
      <c r="I37" s="172"/>
      <c r="J37" s="172"/>
      <c r="K37" s="172"/>
      <c r="L37" s="172"/>
      <c r="M37" s="172"/>
      <c r="N37" s="172"/>
      <c r="O37" s="172"/>
      <c r="P37" s="172"/>
      <c r="Q37" s="172"/>
      <c r="R37" s="172"/>
      <c r="S37" s="172"/>
      <c r="T37" s="172"/>
      <c r="U37" s="172"/>
      <c r="V37" s="172"/>
      <c r="W37" s="172"/>
      <c r="X37" s="173" t="str">
        <f>REP.footer2</f>
        <v>Report Prepared by: Cathy James. Date of Issue: 05/09/23</v>
      </c>
    </row>
    <row r="38" spans="4:24" ht="16.2" customHeight="1" thickTop="1" x14ac:dyDescent="0.3"/>
    <row r="39" spans="4:24" ht="16.2" customHeight="1" x14ac:dyDescent="0.3">
      <c r="G39" s="240"/>
      <c r="H39" s="240"/>
      <c r="I39" s="240"/>
      <c r="J39" s="240"/>
      <c r="K39" s="240"/>
      <c r="L39" s="240"/>
      <c r="M39" s="240"/>
      <c r="N39" s="240"/>
      <c r="O39" s="240"/>
      <c r="P39" s="240"/>
      <c r="Q39" s="240"/>
      <c r="R39" s="240"/>
      <c r="S39" s="240"/>
      <c r="T39" s="240"/>
      <c r="U39" s="240"/>
      <c r="V39" s="240"/>
    </row>
    <row r="40" spans="4:24" ht="16.2" customHeight="1" x14ac:dyDescent="0.3">
      <c r="G40" s="240"/>
      <c r="H40" s="240"/>
      <c r="I40" s="240"/>
      <c r="J40" s="240"/>
      <c r="K40" s="240"/>
      <c r="L40" s="240"/>
      <c r="M40" s="240"/>
      <c r="N40" s="240"/>
      <c r="O40" s="240"/>
      <c r="P40" s="240"/>
      <c r="Q40" s="240"/>
      <c r="R40" s="240"/>
      <c r="S40" s="240"/>
      <c r="T40" s="240"/>
      <c r="U40" s="240"/>
      <c r="V40" s="240"/>
    </row>
    <row r="69" spans="7:23" ht="16.2" customHeight="1" x14ac:dyDescent="0.3">
      <c r="G69" s="111" t="s">
        <v>43</v>
      </c>
      <c r="H69" s="111" t="s">
        <v>43</v>
      </c>
      <c r="J69" s="111" t="s">
        <v>48</v>
      </c>
      <c r="K69" s="111" t="s">
        <v>48</v>
      </c>
      <c r="M69" s="111" t="s">
        <v>18</v>
      </c>
      <c r="N69" s="111" t="s">
        <v>18</v>
      </c>
      <c r="P69" s="111" t="s">
        <v>95</v>
      </c>
      <c r="S69" s="111" t="s">
        <v>71</v>
      </c>
      <c r="T69" s="111" t="s">
        <v>71</v>
      </c>
      <c r="V69" s="111" t="s">
        <v>54</v>
      </c>
      <c r="W69" s="111" t="s">
        <v>54</v>
      </c>
    </row>
  </sheetData>
  <sheetProtection algorithmName="SHA-512" hashValue="mq6LqLqgtkDOR74JHLUJFMiSJZ3SeslaifUlVfV3vI+IluHayWosfb7bpZYEA3xwnGzbdEouhef9drNVZgDdFg==" saltValue="9Qm/H+c3oMBo40qgUddv2w==" spinCount="100000" sheet="1" objects="1" scenarios="1"/>
  <mergeCells count="2">
    <mergeCell ref="S6:X7"/>
    <mergeCell ref="E9:X10"/>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GTS04">
    <tabColor rgb="FFFFC000"/>
    <outlinePr showOutlineSymbols="0"/>
    <pageSetUpPr autoPageBreaks="0" fitToPage="1"/>
  </sheetPr>
  <dimension ref="A1:Z69"/>
  <sheetViews>
    <sheetView showGridLines="0" showRowColHeaders="0" showZeros="0" showOutlineSymbols="0" topLeftCell="A2" zoomScaleNormal="100" workbookViewId="0">
      <pane ySplit="6" topLeftCell="A8" activePane="bottomLeft" state="frozen"/>
      <selection activeCell="AC21" sqref="AC21"/>
      <selection pane="bottomLeft" activeCell="F32" sqref="F32"/>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ANNEX</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559" t="str">
        <f>REP.title1</f>
        <v>STEAM FINAL TREND REPORT FOR 2011-2022</v>
      </c>
      <c r="F6" s="560"/>
      <c r="G6" s="560"/>
      <c r="H6" s="560"/>
      <c r="I6" s="560"/>
      <c r="J6" s="560"/>
      <c r="K6" s="560"/>
      <c r="L6" s="560"/>
      <c r="M6" s="560"/>
      <c r="N6" s="560"/>
      <c r="O6" s="560"/>
      <c r="P6" s="561"/>
      <c r="Q6" s="561"/>
      <c r="R6" s="561"/>
      <c r="S6" s="806" t="str">
        <f>"Financial Data Indexed to "&amp;MAX(REP.yearsrange)&amp;" Prices"</f>
        <v>Financial Data Indexed to 2022 Prices</v>
      </c>
      <c r="T6" s="807"/>
      <c r="U6" s="807"/>
      <c r="V6" s="807"/>
      <c r="W6" s="807"/>
      <c r="X6" s="808"/>
    </row>
    <row r="7" spans="1:26" ht="16.2" customHeight="1" thickBot="1" x14ac:dyDescent="0.35">
      <c r="E7" s="562" t="str">
        <f>REP.title2</f>
        <v>NORTH WALES</v>
      </c>
      <c r="F7" s="563"/>
      <c r="G7" s="563"/>
      <c r="H7" s="563"/>
      <c r="I7" s="564"/>
      <c r="J7" s="564"/>
      <c r="K7" s="564"/>
      <c r="L7" s="564"/>
      <c r="M7" s="564"/>
      <c r="N7" s="564"/>
      <c r="O7" s="565"/>
      <c r="P7" s="565"/>
      <c r="Q7" s="565"/>
      <c r="R7" s="565"/>
      <c r="S7" s="809"/>
      <c r="T7" s="810"/>
      <c r="U7" s="810"/>
      <c r="V7" s="810"/>
      <c r="W7" s="810"/>
      <c r="X7" s="811"/>
    </row>
    <row r="8" spans="1:26"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6" s="125" customFormat="1" ht="16.2" customHeight="1" thickTop="1" x14ac:dyDescent="0.3">
      <c r="E9" s="800" t="str">
        <f>"Report Sections With Historic "&amp;S6</f>
        <v>Report Sections With Historic Financial Data Indexed to 2022 Prices</v>
      </c>
      <c r="F9" s="801"/>
      <c r="G9" s="801"/>
      <c r="H9" s="801"/>
      <c r="I9" s="801"/>
      <c r="J9" s="801"/>
      <c r="K9" s="801"/>
      <c r="L9" s="801"/>
      <c r="M9" s="801"/>
      <c r="N9" s="801"/>
      <c r="O9" s="801"/>
      <c r="P9" s="801"/>
      <c r="Q9" s="801"/>
      <c r="R9" s="801"/>
      <c r="S9" s="801"/>
      <c r="T9" s="801"/>
      <c r="U9" s="801"/>
      <c r="V9" s="801"/>
      <c r="W9" s="801"/>
      <c r="X9" s="802"/>
    </row>
    <row r="10" spans="1:26" s="125" customFormat="1" ht="16.2" customHeight="1" thickBot="1" x14ac:dyDescent="0.35">
      <c r="E10" s="803"/>
      <c r="F10" s="804"/>
      <c r="G10" s="804"/>
      <c r="H10" s="804"/>
      <c r="I10" s="804"/>
      <c r="J10" s="804"/>
      <c r="K10" s="804"/>
      <c r="L10" s="804"/>
      <c r="M10" s="804"/>
      <c r="N10" s="804"/>
      <c r="O10" s="804"/>
      <c r="P10" s="804"/>
      <c r="Q10" s="804"/>
      <c r="R10" s="804"/>
      <c r="S10" s="804"/>
      <c r="T10" s="804"/>
      <c r="U10" s="804"/>
      <c r="V10" s="804"/>
      <c r="W10" s="804"/>
      <c r="X10" s="805"/>
    </row>
    <row r="11" spans="1:26" s="125" customFormat="1" ht="16.2" customHeight="1" thickTop="1" thickBot="1" x14ac:dyDescent="0.35">
      <c r="E11" s="572" t="s">
        <v>168</v>
      </c>
      <c r="F11" s="581" t="s">
        <v>105</v>
      </c>
      <c r="G11" s="573"/>
      <c r="H11" s="573"/>
      <c r="I11" s="573"/>
      <c r="J11" s="573"/>
      <c r="K11" s="573"/>
      <c r="L11" s="580" t="s">
        <v>166</v>
      </c>
      <c r="M11" s="569"/>
      <c r="N11" s="569"/>
      <c r="O11" s="578" t="str">
        <f t="array" ref="O11:O24">IFERROR(INDEX(TYPE.choices,{1;2;3;4;5;6;7;8;9;10;11;12;13;14}),"")</f>
        <v>Total</v>
      </c>
      <c r="P11" s="573"/>
      <c r="Q11" s="573"/>
      <c r="R11" s="573"/>
      <c r="S11" s="573"/>
      <c r="T11" s="573"/>
      <c r="U11" s="573"/>
      <c r="V11" s="573"/>
      <c r="W11" s="573"/>
      <c r="X11" s="574"/>
    </row>
    <row r="12" spans="1:26" ht="16.2" customHeight="1" thickTop="1" thickBot="1" x14ac:dyDescent="0.35">
      <c r="E12" s="575"/>
      <c r="F12" s="581" t="s">
        <v>135</v>
      </c>
      <c r="G12" s="576"/>
      <c r="H12" s="576"/>
      <c r="I12" s="576"/>
      <c r="J12" s="576"/>
      <c r="K12" s="576"/>
      <c r="L12" s="575"/>
      <c r="M12" s="569"/>
      <c r="N12" s="569"/>
      <c r="O12" s="578" t="str">
        <v>Serviced Accommodation</v>
      </c>
      <c r="P12" s="576"/>
      <c r="Q12" s="576"/>
      <c r="R12" s="576"/>
      <c r="S12" s="576"/>
      <c r="T12" s="576"/>
      <c r="U12" s="576"/>
      <c r="V12" s="576"/>
      <c r="W12" s="576"/>
      <c r="X12" s="577"/>
    </row>
    <row r="13" spans="1:26" ht="16.2" customHeight="1" thickTop="1" thickBot="1" x14ac:dyDescent="0.35">
      <c r="E13" s="568"/>
      <c r="F13" s="581" t="s">
        <v>17</v>
      </c>
      <c r="G13" s="569"/>
      <c r="H13" s="569"/>
      <c r="I13" s="569"/>
      <c r="J13" s="569"/>
      <c r="K13" s="569"/>
      <c r="L13" s="568"/>
      <c r="M13" s="569"/>
      <c r="N13" s="569"/>
      <c r="O13" s="578" t="str">
        <v>Non-Serviced Accommodation</v>
      </c>
      <c r="P13" s="569"/>
      <c r="Q13" s="569"/>
      <c r="R13" s="569"/>
      <c r="S13" s="569"/>
      <c r="T13" s="569"/>
      <c r="U13" s="569"/>
      <c r="V13" s="569"/>
      <c r="W13" s="569"/>
      <c r="X13" s="570"/>
    </row>
    <row r="14" spans="1:26" ht="16.2" customHeight="1" thickTop="1" thickBot="1" x14ac:dyDescent="0.35">
      <c r="E14" s="568"/>
      <c r="F14" s="581" t="s">
        <v>106</v>
      </c>
      <c r="G14" s="569"/>
      <c r="H14" s="569"/>
      <c r="I14" s="569"/>
      <c r="J14" s="569"/>
      <c r="K14" s="569"/>
      <c r="L14" s="568"/>
      <c r="M14" s="569"/>
      <c r="N14" s="569"/>
      <c r="O14" s="578" t="str">
        <v>SFR</v>
      </c>
      <c r="P14" s="569"/>
      <c r="Q14" s="569"/>
      <c r="R14" s="569"/>
      <c r="S14" s="569"/>
      <c r="T14" s="569"/>
      <c r="U14" s="569"/>
      <c r="V14" s="569"/>
      <c r="W14" s="569"/>
      <c r="X14" s="570"/>
    </row>
    <row r="15" spans="1:26" ht="16.2" customHeight="1" thickTop="1" thickBot="1" x14ac:dyDescent="0.35">
      <c r="E15" s="568"/>
      <c r="F15" s="581"/>
      <c r="G15" s="569"/>
      <c r="H15" s="569"/>
      <c r="I15" s="569"/>
      <c r="J15" s="569"/>
      <c r="K15" s="569"/>
      <c r="L15" s="568"/>
      <c r="M15" s="569"/>
      <c r="N15" s="569"/>
      <c r="O15" s="578" t="str">
        <v>Staying Visitor</v>
      </c>
      <c r="P15" s="569"/>
      <c r="Q15" s="569"/>
      <c r="R15" s="569"/>
      <c r="S15" s="569"/>
      <c r="T15" s="569"/>
      <c r="U15" s="569"/>
      <c r="V15" s="569"/>
      <c r="W15" s="569"/>
      <c r="X15" s="570"/>
    </row>
    <row r="16" spans="1:26" ht="16.2" customHeight="1" thickTop="1" thickBot="1" x14ac:dyDescent="0.35">
      <c r="E16" s="568"/>
      <c r="F16" s="581"/>
      <c r="G16" s="569"/>
      <c r="H16" s="569"/>
      <c r="I16" s="569"/>
      <c r="J16" s="569"/>
      <c r="K16" s="569"/>
      <c r="L16" s="568"/>
      <c r="M16" s="569"/>
      <c r="N16" s="569"/>
      <c r="O16" s="578" t="str">
        <v>Day Visitor</v>
      </c>
      <c r="P16" s="569"/>
      <c r="Q16" s="569"/>
      <c r="R16" s="569"/>
      <c r="S16" s="569"/>
      <c r="T16" s="569"/>
      <c r="U16" s="569"/>
      <c r="V16" s="569"/>
      <c r="W16" s="569"/>
      <c r="X16" s="570"/>
      <c r="Y16" s="270"/>
      <c r="Z16" s="111" t="b">
        <f>K16&gt;1000000</f>
        <v>0</v>
      </c>
    </row>
    <row r="17" spans="4:24" ht="16.2" customHeight="1" thickTop="1" x14ac:dyDescent="0.3">
      <c r="E17" s="568"/>
      <c r="F17" s="581"/>
      <c r="G17" s="569"/>
      <c r="H17" s="569"/>
      <c r="I17" s="569"/>
      <c r="J17" s="569"/>
      <c r="K17" s="569"/>
      <c r="L17" s="568"/>
      <c r="M17" s="569"/>
      <c r="N17" s="569"/>
      <c r="O17" s="579" t="str">
        <v/>
      </c>
      <c r="P17" s="569"/>
      <c r="Q17" s="569"/>
      <c r="R17" s="569"/>
      <c r="S17" s="569"/>
      <c r="T17" s="569"/>
      <c r="U17" s="569"/>
      <c r="V17" s="569"/>
      <c r="W17" s="569"/>
      <c r="X17" s="570"/>
    </row>
    <row r="18" spans="4:24" ht="16.2" customHeight="1" x14ac:dyDescent="0.3">
      <c r="E18" s="568"/>
      <c r="F18" s="569"/>
      <c r="G18" s="569"/>
      <c r="H18" s="569"/>
      <c r="I18" s="569"/>
      <c r="J18" s="569"/>
      <c r="K18" s="569"/>
      <c r="L18" s="568"/>
      <c r="M18" s="569"/>
      <c r="N18" s="569"/>
      <c r="O18" s="579" t="str">
        <v/>
      </c>
      <c r="P18" s="569"/>
      <c r="Q18" s="569"/>
      <c r="R18" s="569"/>
      <c r="S18" s="569"/>
      <c r="T18" s="569"/>
      <c r="U18" s="569"/>
      <c r="V18" s="569"/>
      <c r="W18" s="569"/>
      <c r="X18" s="570"/>
    </row>
    <row r="19" spans="4:24" ht="16.2" customHeight="1" thickBot="1" x14ac:dyDescent="0.35">
      <c r="E19" s="568"/>
      <c r="F19" s="569"/>
      <c r="G19" s="569"/>
      <c r="H19" s="569"/>
      <c r="I19" s="569"/>
      <c r="J19" s="569"/>
      <c r="K19" s="569"/>
      <c r="L19" s="568"/>
      <c r="M19" s="569"/>
      <c r="N19" s="569"/>
      <c r="O19" s="579" t="str">
        <v/>
      </c>
      <c r="P19" s="569"/>
      <c r="Q19" s="569"/>
      <c r="R19" s="569"/>
      <c r="S19" s="569"/>
      <c r="T19" s="569"/>
      <c r="U19" s="569"/>
      <c r="V19" s="569"/>
      <c r="W19" s="569"/>
      <c r="X19" s="570"/>
    </row>
    <row r="20" spans="4:24" ht="16.2" customHeight="1" thickTop="1" thickBot="1" x14ac:dyDescent="0.35">
      <c r="E20" s="572" t="s">
        <v>169</v>
      </c>
      <c r="F20" s="586" t="str">
        <f>"Indexation to: "&amp;MAX(REP.yearsrange)</f>
        <v>Indexation to: 2022</v>
      </c>
      <c r="G20" s="583"/>
      <c r="H20" s="569"/>
      <c r="I20" s="569"/>
      <c r="J20" s="569"/>
      <c r="K20" s="569"/>
      <c r="L20" s="568"/>
      <c r="M20" s="569"/>
      <c r="N20" s="569"/>
      <c r="O20" s="579" t="str">
        <v/>
      </c>
      <c r="P20" s="569"/>
      <c r="Q20" s="569"/>
      <c r="R20" s="569"/>
      <c r="S20" s="569"/>
      <c r="T20" s="569"/>
      <c r="U20" s="569"/>
      <c r="V20" s="569"/>
      <c r="W20" s="569"/>
      <c r="X20" s="570"/>
    </row>
    <row r="21" spans="4:24" ht="16.2" customHeight="1" thickTop="1" thickBot="1" x14ac:dyDescent="0.35">
      <c r="E21" s="585">
        <f t="array" ref="E21:E32">IF(REP.yearsrange="","",REP.yearsrange)</f>
        <v>2011</v>
      </c>
      <c r="F21" s="582">
        <f t="array" ref="F21:F32">IF(REP.indexationfactors="","",REP.indexationfactors)</f>
        <v>1</v>
      </c>
      <c r="G21" s="583"/>
      <c r="H21" s="569"/>
      <c r="I21" s="569"/>
      <c r="J21" s="569"/>
      <c r="K21" s="569"/>
      <c r="L21" s="568"/>
      <c r="M21" s="569"/>
      <c r="N21" s="569"/>
      <c r="O21" s="579" t="str">
        <v/>
      </c>
      <c r="P21" s="569"/>
      <c r="Q21" s="569"/>
      <c r="R21" s="569"/>
      <c r="S21" s="569"/>
      <c r="T21" s="569"/>
      <c r="U21" s="569"/>
      <c r="V21" s="569"/>
      <c r="W21" s="569"/>
      <c r="X21" s="570"/>
    </row>
    <row r="22" spans="4:24" ht="16.2" customHeight="1" thickTop="1" thickBot="1" x14ac:dyDescent="0.35">
      <c r="E22" s="585">
        <v>2012</v>
      </c>
      <c r="F22" s="582">
        <v>1</v>
      </c>
      <c r="G22" s="583"/>
      <c r="H22" s="569"/>
      <c r="I22" s="569"/>
      <c r="J22" s="569"/>
      <c r="K22" s="569"/>
      <c r="L22" s="568"/>
      <c r="M22" s="569"/>
      <c r="N22" s="569"/>
      <c r="O22" s="579" t="str">
        <v/>
      </c>
      <c r="P22" s="569"/>
      <c r="Q22" s="569"/>
      <c r="R22" s="569"/>
      <c r="S22" s="569"/>
      <c r="T22" s="569"/>
      <c r="U22" s="569"/>
      <c r="V22" s="569"/>
      <c r="W22" s="569"/>
      <c r="X22" s="570"/>
    </row>
    <row r="23" spans="4:24" ht="16.2" customHeight="1" thickTop="1" thickBot="1" x14ac:dyDescent="0.35">
      <c r="E23" s="585">
        <v>2013</v>
      </c>
      <c r="F23" s="582">
        <v>1</v>
      </c>
      <c r="G23" s="583"/>
      <c r="H23" s="569"/>
      <c r="I23" s="569"/>
      <c r="J23" s="569"/>
      <c r="K23" s="569"/>
      <c r="L23" s="568"/>
      <c r="M23" s="569"/>
      <c r="N23" s="569"/>
      <c r="O23" s="579" t="str">
        <v/>
      </c>
      <c r="P23" s="569"/>
      <c r="Q23" s="569"/>
      <c r="R23" s="569"/>
      <c r="S23" s="569"/>
      <c r="T23" s="569"/>
      <c r="U23" s="569"/>
      <c r="V23" s="569"/>
      <c r="W23" s="569"/>
      <c r="X23" s="570"/>
    </row>
    <row r="24" spans="4:24" ht="16.2" customHeight="1" thickTop="1" thickBot="1" x14ac:dyDescent="0.35">
      <c r="E24" s="585">
        <v>2014</v>
      </c>
      <c r="F24" s="582">
        <v>1</v>
      </c>
      <c r="G24" s="583"/>
      <c r="H24" s="569"/>
      <c r="I24" s="569"/>
      <c r="J24" s="569"/>
      <c r="K24" s="569"/>
      <c r="L24" s="568"/>
      <c r="M24" s="569"/>
      <c r="N24" s="569"/>
      <c r="O24" s="579" t="str">
        <v/>
      </c>
      <c r="P24" s="569"/>
      <c r="Q24" s="569"/>
      <c r="R24" s="569"/>
      <c r="S24" s="569"/>
      <c r="T24" s="569"/>
      <c r="U24" s="569"/>
      <c r="V24" s="569"/>
      <c r="W24" s="569"/>
      <c r="X24" s="570"/>
    </row>
    <row r="25" spans="4:24" ht="16.2" customHeight="1" thickTop="1" thickBot="1" x14ac:dyDescent="0.35">
      <c r="E25" s="585">
        <v>2015</v>
      </c>
      <c r="F25" s="582">
        <v>1</v>
      </c>
      <c r="G25" s="583"/>
      <c r="H25" s="569"/>
      <c r="I25" s="569"/>
      <c r="J25" s="569"/>
      <c r="K25" s="569"/>
      <c r="L25" s="569"/>
      <c r="M25" s="569"/>
      <c r="N25" s="569"/>
      <c r="O25" s="569"/>
      <c r="P25" s="569"/>
      <c r="Q25" s="569"/>
      <c r="R25" s="569"/>
      <c r="S25" s="569"/>
      <c r="T25" s="569"/>
      <c r="U25" s="569"/>
      <c r="V25" s="569"/>
      <c r="W25" s="569"/>
      <c r="X25" s="570"/>
    </row>
    <row r="26" spans="4:24" ht="16.2" customHeight="1" thickTop="1" thickBot="1" x14ac:dyDescent="0.35">
      <c r="E26" s="585">
        <v>2016</v>
      </c>
      <c r="F26" s="582">
        <v>1</v>
      </c>
      <c r="G26" s="583"/>
      <c r="H26" s="569"/>
      <c r="I26" s="569"/>
      <c r="J26" s="569"/>
      <c r="K26" s="569"/>
      <c r="L26" s="569"/>
      <c r="M26" s="569"/>
      <c r="N26" s="569"/>
      <c r="O26" s="569"/>
      <c r="P26" s="569"/>
      <c r="Q26" s="569"/>
      <c r="R26" s="569"/>
      <c r="S26" s="569"/>
      <c r="T26" s="569"/>
      <c r="U26" s="569"/>
      <c r="V26" s="569"/>
      <c r="W26" s="569"/>
      <c r="X26" s="570"/>
    </row>
    <row r="27" spans="4:24" ht="16.2" customHeight="1" thickTop="1" thickBot="1" x14ac:dyDescent="0.35">
      <c r="D27" s="196" t="e">
        <f ca="1">"'"&amp;$A$1&amp;"'!"&amp;CELL("address",#REF!)&amp;":"&amp;CELL("address",OFFSET(#REF!,0,COUNT(REP.yearsrange)-1))</f>
        <v>#REF!</v>
      </c>
      <c r="E27" s="585">
        <v>2017</v>
      </c>
      <c r="F27" s="582">
        <v>1</v>
      </c>
      <c r="G27" s="583"/>
      <c r="H27" s="569"/>
      <c r="I27" s="569"/>
      <c r="J27" s="569"/>
      <c r="K27" s="569"/>
      <c r="L27" s="569"/>
      <c r="M27" s="569"/>
      <c r="N27" s="569"/>
      <c r="O27" s="569"/>
      <c r="P27" s="569"/>
      <c r="Q27" s="569"/>
      <c r="R27" s="569"/>
      <c r="S27" s="569"/>
      <c r="T27" s="569"/>
      <c r="U27" s="569"/>
      <c r="V27" s="569"/>
      <c r="W27" s="569"/>
      <c r="X27" s="570"/>
    </row>
    <row r="28" spans="4:24" ht="16.2" customHeight="1" thickTop="1" thickBot="1" x14ac:dyDescent="0.35">
      <c r="D28" s="196" t="e">
        <f ca="1">"'"&amp;$A$1&amp;"'!"&amp;CELL("address",#REF!)&amp;":"&amp;CELL("address",OFFSET(#REF!,0,COUNT(REP.yearsrange)-1))</f>
        <v>#REF!</v>
      </c>
      <c r="E28" s="584">
        <v>2018</v>
      </c>
      <c r="F28" s="582">
        <v>1</v>
      </c>
      <c r="G28" s="583"/>
      <c r="H28" s="569"/>
      <c r="I28" s="569"/>
      <c r="J28" s="569"/>
      <c r="K28" s="569"/>
      <c r="L28" s="569"/>
      <c r="M28" s="569"/>
      <c r="N28" s="569"/>
      <c r="O28" s="569"/>
      <c r="P28" s="569"/>
      <c r="Q28" s="569"/>
      <c r="R28" s="569"/>
      <c r="S28" s="569"/>
      <c r="T28" s="569"/>
      <c r="U28" s="569"/>
      <c r="V28" s="569"/>
      <c r="W28" s="569"/>
      <c r="X28" s="570"/>
    </row>
    <row r="29" spans="4:24" ht="16.2" customHeight="1" thickTop="1" thickBot="1" x14ac:dyDescent="0.35">
      <c r="D29" s="196" t="e">
        <f ca="1">"'"&amp;$A$1&amp;"'!"&amp;CELL("address",#REF!)&amp;":"&amp;CELL("address",OFFSET(#REF!,0,COUNT(REP.yearsrange)-1))</f>
        <v>#REF!</v>
      </c>
      <c r="E29" s="584">
        <v>2019</v>
      </c>
      <c r="F29" s="582">
        <v>1</v>
      </c>
      <c r="G29" s="583"/>
      <c r="H29" s="569"/>
      <c r="I29" s="569"/>
      <c r="J29" s="569"/>
      <c r="K29" s="569"/>
      <c r="L29" s="569"/>
      <c r="M29" s="569"/>
      <c r="N29" s="569"/>
      <c r="O29" s="569"/>
      <c r="P29" s="569"/>
      <c r="Q29" s="569"/>
      <c r="R29" s="569"/>
      <c r="S29" s="569"/>
      <c r="T29" s="569"/>
      <c r="U29" s="569"/>
      <c r="V29" s="569"/>
      <c r="W29" s="569"/>
      <c r="X29" s="570"/>
    </row>
    <row r="30" spans="4:24" ht="16.2" customHeight="1" thickTop="1" thickBot="1" x14ac:dyDescent="0.35">
      <c r="D30" s="196" t="e">
        <f ca="1">"'"&amp;$A$1&amp;"'!"&amp;CELL("address",#REF!)&amp;":"&amp;CELL("address",OFFSET(#REF!,0,COUNT(REP.yearsrange)-1))</f>
        <v>#REF!</v>
      </c>
      <c r="E30" s="584">
        <v>2020</v>
      </c>
      <c r="F30" s="582">
        <v>1</v>
      </c>
      <c r="G30" s="583"/>
      <c r="H30" s="569"/>
      <c r="I30" s="569"/>
      <c r="J30" s="569"/>
      <c r="K30" s="569"/>
      <c r="L30" s="569"/>
      <c r="M30" s="569"/>
      <c r="N30" s="569"/>
      <c r="O30" s="569"/>
      <c r="P30" s="569"/>
      <c r="Q30" s="569"/>
      <c r="R30" s="569"/>
      <c r="S30" s="569"/>
      <c r="T30" s="569"/>
      <c r="U30" s="569"/>
      <c r="V30" s="569"/>
      <c r="W30" s="569"/>
      <c r="X30" s="570"/>
    </row>
    <row r="31" spans="4:24" ht="16.2" customHeight="1" thickTop="1" thickBot="1" x14ac:dyDescent="0.35">
      <c r="D31" s="196" t="e">
        <f ca="1">"'"&amp;$A$1&amp;"'!"&amp;CELL("address",#REF!)&amp;":"&amp;CELL("address",OFFSET(#REF!,0,COUNT(REP.yearsrange)-1))</f>
        <v>#REF!</v>
      </c>
      <c r="E31" s="584">
        <v>2021</v>
      </c>
      <c r="F31" s="582">
        <v>1</v>
      </c>
      <c r="G31" s="583"/>
      <c r="H31" s="569"/>
      <c r="I31" s="569"/>
      <c r="J31" s="569"/>
      <c r="K31" s="569"/>
      <c r="L31" s="569"/>
      <c r="M31" s="569"/>
      <c r="N31" s="569"/>
      <c r="O31" s="569"/>
      <c r="P31" s="569"/>
      <c r="Q31" s="569"/>
      <c r="R31" s="569"/>
      <c r="S31" s="569"/>
      <c r="T31" s="569"/>
      <c r="U31" s="569"/>
      <c r="V31" s="569"/>
      <c r="W31" s="569"/>
      <c r="X31" s="570"/>
    </row>
    <row r="32" spans="4:24" ht="16.2" customHeight="1" thickTop="1" x14ac:dyDescent="0.3">
      <c r="D32" s="196" t="e">
        <f ca="1">"'"&amp;$A$1&amp;"'!"&amp;CELL("address",#REF!)&amp;":"&amp;CELL("address",OFFSET(#REF!,0,COUNT(REP.yearsrange)-1))</f>
        <v>#REF!</v>
      </c>
      <c r="E32" s="584">
        <v>2022</v>
      </c>
      <c r="F32" s="582">
        <v>1</v>
      </c>
      <c r="G32" s="583"/>
      <c r="H32" s="569"/>
      <c r="I32" s="569"/>
      <c r="J32" s="569"/>
      <c r="K32" s="569"/>
      <c r="L32" s="569"/>
      <c r="M32" s="569"/>
      <c r="N32" s="569"/>
      <c r="O32" s="569"/>
      <c r="P32" s="569"/>
      <c r="Q32" s="569"/>
      <c r="R32" s="569"/>
      <c r="S32" s="569"/>
      <c r="T32" s="569"/>
      <c r="U32" s="569"/>
      <c r="V32" s="569"/>
      <c r="W32" s="569"/>
      <c r="X32" s="570"/>
    </row>
    <row r="33" spans="4:24" ht="16.2" customHeight="1" x14ac:dyDescent="0.3">
      <c r="D33" s="196"/>
      <c r="E33" s="568"/>
      <c r="F33" s="569"/>
      <c r="G33" s="569"/>
      <c r="H33" s="569"/>
      <c r="I33" s="569"/>
      <c r="J33" s="569"/>
      <c r="K33" s="569"/>
      <c r="L33" s="569"/>
      <c r="M33" s="569"/>
      <c r="N33" s="569"/>
      <c r="O33" s="569"/>
      <c r="P33" s="569"/>
      <c r="Q33" s="569"/>
      <c r="R33" s="569"/>
      <c r="S33" s="569"/>
      <c r="T33" s="569"/>
      <c r="U33" s="569"/>
      <c r="V33" s="569"/>
      <c r="W33" s="569"/>
      <c r="X33" s="570"/>
    </row>
    <row r="34" spans="4:24" ht="16.2" customHeight="1" x14ac:dyDescent="0.3">
      <c r="D34" s="196"/>
      <c r="E34" s="568"/>
      <c r="F34" s="569"/>
      <c r="G34" s="569"/>
      <c r="H34" s="569"/>
      <c r="I34" s="569"/>
      <c r="J34" s="569"/>
      <c r="K34" s="569"/>
      <c r="L34" s="569"/>
      <c r="M34" s="569"/>
      <c r="N34" s="569"/>
      <c r="O34" s="569"/>
      <c r="P34" s="569"/>
      <c r="Q34" s="569"/>
      <c r="R34" s="569"/>
      <c r="S34" s="569"/>
      <c r="T34" s="569"/>
      <c r="U34" s="569"/>
      <c r="V34" s="569"/>
      <c r="W34" s="569"/>
      <c r="X34" s="570"/>
    </row>
    <row r="35" spans="4:24" ht="16.2" customHeight="1" x14ac:dyDescent="0.3">
      <c r="D35" s="196"/>
      <c r="E35" s="568"/>
      <c r="F35" s="569"/>
      <c r="G35" s="569"/>
      <c r="H35" s="569"/>
      <c r="I35" s="569"/>
      <c r="J35" s="569"/>
      <c r="K35" s="569"/>
      <c r="L35" s="569"/>
      <c r="M35" s="569"/>
      <c r="N35" s="569"/>
      <c r="O35" s="569"/>
      <c r="P35" s="569"/>
      <c r="Q35" s="569"/>
      <c r="R35" s="569"/>
      <c r="S35" s="569"/>
      <c r="T35" s="569"/>
      <c r="U35" s="569"/>
      <c r="V35" s="569"/>
      <c r="W35" s="569"/>
      <c r="X35" s="570"/>
    </row>
    <row r="36" spans="4:24" ht="16.2" customHeight="1" thickBot="1" x14ac:dyDescent="0.35">
      <c r="D36" s="196"/>
      <c r="E36" s="566"/>
      <c r="F36" s="567"/>
      <c r="G36" s="567"/>
      <c r="H36" s="567"/>
      <c r="I36" s="567"/>
      <c r="J36" s="567"/>
      <c r="K36" s="567"/>
      <c r="L36" s="567"/>
      <c r="M36" s="567"/>
      <c r="N36" s="567"/>
      <c r="O36" s="567"/>
      <c r="P36" s="567"/>
      <c r="Q36" s="567"/>
      <c r="R36" s="567"/>
      <c r="S36" s="567"/>
      <c r="T36" s="567"/>
      <c r="U36" s="567"/>
      <c r="V36" s="567"/>
      <c r="W36" s="567"/>
      <c r="X36" s="571"/>
    </row>
    <row r="37" spans="4:24" s="174" customFormat="1" ht="16.2" customHeight="1" thickTop="1" thickBot="1" x14ac:dyDescent="0.2">
      <c r="D37" s="170"/>
      <c r="E37" s="171" t="str">
        <f>REP.footer1</f>
        <v>This report is copyright © Global Tourism Solutions (UK) Ltd 2023</v>
      </c>
      <c r="F37" s="172"/>
      <c r="G37" s="172"/>
      <c r="H37" s="172"/>
      <c r="I37" s="172"/>
      <c r="J37" s="172"/>
      <c r="K37" s="172"/>
      <c r="L37" s="172"/>
      <c r="M37" s="172"/>
      <c r="N37" s="172"/>
      <c r="O37" s="172"/>
      <c r="P37" s="172"/>
      <c r="Q37" s="172"/>
      <c r="R37" s="172"/>
      <c r="S37" s="172"/>
      <c r="T37" s="172"/>
      <c r="U37" s="172"/>
      <c r="V37" s="172"/>
      <c r="W37" s="172"/>
      <c r="X37" s="173" t="str">
        <f>REP.footer2</f>
        <v>Report Prepared by: Cathy James. Date of Issue: 05/09/23</v>
      </c>
    </row>
    <row r="38" spans="4:24" ht="16.2" customHeight="1" thickTop="1" x14ac:dyDescent="0.3"/>
    <row r="39" spans="4:24" ht="16.2" customHeight="1" x14ac:dyDescent="0.3">
      <c r="G39" s="240"/>
      <c r="H39" s="240"/>
      <c r="I39" s="240"/>
      <c r="J39" s="240"/>
      <c r="K39" s="240"/>
      <c r="L39" s="240"/>
      <c r="M39" s="240"/>
      <c r="N39" s="240"/>
      <c r="O39" s="240"/>
      <c r="P39" s="240"/>
      <c r="Q39" s="240"/>
      <c r="R39" s="240"/>
      <c r="S39" s="240"/>
      <c r="T39" s="240"/>
      <c r="U39" s="240"/>
      <c r="V39" s="240"/>
    </row>
    <row r="40" spans="4:24" ht="16.2" customHeight="1" x14ac:dyDescent="0.3">
      <c r="G40" s="240"/>
      <c r="H40" s="240"/>
      <c r="I40" s="240"/>
      <c r="J40" s="240"/>
      <c r="K40" s="240"/>
      <c r="L40" s="240"/>
      <c r="M40" s="240"/>
      <c r="N40" s="240"/>
      <c r="O40" s="240"/>
      <c r="P40" s="240"/>
      <c r="Q40" s="240"/>
      <c r="R40" s="240"/>
      <c r="S40" s="240"/>
      <c r="T40" s="240"/>
      <c r="U40" s="240"/>
      <c r="V40" s="240"/>
    </row>
    <row r="69" spans="7:23" ht="16.2" customHeight="1" x14ac:dyDescent="0.3">
      <c r="G69" s="111" t="s">
        <v>43</v>
      </c>
      <c r="H69" s="111" t="s">
        <v>43</v>
      </c>
      <c r="J69" s="111" t="s">
        <v>48</v>
      </c>
      <c r="K69" s="111" t="s">
        <v>48</v>
      </c>
      <c r="M69" s="111" t="s">
        <v>18</v>
      </c>
      <c r="N69" s="111" t="s">
        <v>18</v>
      </c>
      <c r="P69" s="111" t="s">
        <v>95</v>
      </c>
      <c r="S69" s="111" t="s">
        <v>71</v>
      </c>
      <c r="T69" s="111" t="s">
        <v>71</v>
      </c>
      <c r="V69" s="111" t="s">
        <v>54</v>
      </c>
      <c r="W69" s="111" t="s">
        <v>54</v>
      </c>
    </row>
  </sheetData>
  <sheetProtection algorithmName="SHA-512" hashValue="04GwZo+5Qz6WjHP3gQnnbtI2wJuEU4M6WSXkO9+FpOd3Y9ERDMGtiS7tTScknKBLzMqQsBdgd2jdVa7jteMMqQ==" saltValue="+JGpzVtUQfqafhXCStBDwQ==" spinCount="100000" sheet="1" objects="1" scenarios="1"/>
  <mergeCells count="2">
    <mergeCell ref="S6:X7"/>
    <mergeCell ref="E9:X10"/>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Client03">
    <tabColor theme="4" tint="-0.499984740745262"/>
    <outlinePr showOutlineSymbols="0"/>
    <pageSetUpPr autoPageBreaks="0" fitToPage="1"/>
  </sheetPr>
  <dimension ref="A1:X69"/>
  <sheetViews>
    <sheetView showGridLines="0" showRowColHeaders="0" showZeros="0" tabSelected="1" showOutlineSymbols="0" topLeftCell="A2" zoomScaleNormal="100" workbookViewId="0">
      <pane ySplit="6" topLeftCell="A8" activePane="bottomLeft" state="frozen"/>
      <selection activeCell="M48" sqref="M48"/>
      <selection pane="bottomLeft" activeCell="A2" sqref="A2:D39"/>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4.88671875" style="111"/>
    <col min="26" max="26" width="8.44140625" style="111" bestFit="1" customWidth="1"/>
    <col min="27" max="16384" width="4.88671875" style="111"/>
  </cols>
  <sheetData>
    <row r="1" spans="1:24" ht="16.2" hidden="1" customHeight="1" x14ac:dyDescent="0.3">
      <c r="A1" s="110" t="str">
        <f ca="1">MID(CELL("filename",A1),FIND("]",CELL("filename",A1))+1,255)</f>
        <v>HOME</v>
      </c>
      <c r="E1" s="113"/>
      <c r="F1" s="114"/>
      <c r="G1" s="114"/>
      <c r="H1" s="114"/>
      <c r="I1" s="114"/>
      <c r="J1" s="114"/>
      <c r="K1" s="114"/>
      <c r="L1" s="114"/>
      <c r="M1" s="114"/>
      <c r="N1" s="114"/>
      <c r="O1" s="114"/>
      <c r="P1" s="114"/>
      <c r="Q1" s="114"/>
      <c r="R1" s="114"/>
      <c r="S1" s="114"/>
      <c r="T1" s="114"/>
      <c r="U1" s="114"/>
      <c r="V1" s="114"/>
      <c r="W1" s="114"/>
      <c r="X1" s="115"/>
    </row>
    <row r="2" spans="1:24"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4" ht="26.4" customHeight="1" x14ac:dyDescent="0.3">
      <c r="E3" s="119"/>
      <c r="F3" s="120"/>
      <c r="G3" s="120"/>
      <c r="H3" s="120"/>
      <c r="I3" s="120"/>
      <c r="J3" s="120"/>
      <c r="K3" s="120"/>
      <c r="L3" s="120"/>
      <c r="M3" s="120"/>
      <c r="N3" s="120"/>
      <c r="O3" s="120"/>
      <c r="P3" s="120"/>
      <c r="Q3" s="120"/>
      <c r="R3" s="120"/>
      <c r="S3" s="120"/>
      <c r="T3" s="120"/>
      <c r="U3" s="120"/>
      <c r="V3" s="120"/>
      <c r="W3" s="120"/>
      <c r="X3" s="121"/>
    </row>
    <row r="4" spans="1:24" ht="26.4" customHeight="1" x14ac:dyDescent="0.3">
      <c r="E4" s="204"/>
      <c r="F4" s="205"/>
      <c r="G4" s="205"/>
      <c r="H4" s="205"/>
      <c r="I4" s="205"/>
      <c r="J4" s="205"/>
      <c r="K4" s="205"/>
      <c r="L4" s="205"/>
      <c r="M4" s="205"/>
      <c r="N4" s="205"/>
      <c r="O4" s="205"/>
      <c r="P4" s="205"/>
      <c r="Q4" s="205"/>
      <c r="R4" s="205"/>
      <c r="S4" s="205"/>
      <c r="T4" s="205"/>
      <c r="U4" s="205"/>
      <c r="V4" s="205"/>
      <c r="W4" s="205"/>
      <c r="X4" s="206"/>
    </row>
    <row r="5" spans="1:24"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4" ht="16.2" customHeight="1" thickTop="1" x14ac:dyDescent="0.3">
      <c r="E6" s="181" t="str">
        <f>REP.title1</f>
        <v>STEAM FINAL TREND REPORT FOR 2011-2022</v>
      </c>
      <c r="F6" s="182"/>
      <c r="G6" s="182"/>
      <c r="H6" s="182"/>
      <c r="I6" s="182"/>
      <c r="J6" s="182"/>
      <c r="K6" s="182"/>
      <c r="L6" s="182"/>
      <c r="M6" s="309"/>
      <c r="N6" s="825" t="str">
        <f>"All Financial Outputs "&amp;IF(REP.indexed="YES","Indexed","in Historic Prices")&amp;CHAR(10)&amp;IF(REP.indexed="YES","Indexation Years: "&amp;FOCUSYEAR&amp;" (Comparative Headlines) "&amp;CHAR(10)&amp;MAX(REP.yearsrange)&amp;" (all other sections)","")</f>
        <v xml:space="preserve">All Financial Outputs in Historic Prices
</v>
      </c>
      <c r="O6" s="826"/>
      <c r="P6" s="826"/>
      <c r="Q6" s="826"/>
      <c r="R6" s="827"/>
      <c r="S6" s="815" t="s">
        <v>129</v>
      </c>
      <c r="T6" s="815"/>
      <c r="U6" s="815"/>
      <c r="V6" s="815"/>
      <c r="W6" s="815"/>
      <c r="X6" s="816"/>
    </row>
    <row r="7" spans="1:24" ht="16.2" customHeight="1" thickBot="1" x14ac:dyDescent="0.35">
      <c r="E7" s="310" t="str">
        <f>REP.title2</f>
        <v>NORTH WALES</v>
      </c>
      <c r="F7" s="182"/>
      <c r="G7" s="182"/>
      <c r="H7" s="182"/>
      <c r="I7" s="311"/>
      <c r="J7" s="311"/>
      <c r="K7" s="311"/>
      <c r="L7" s="182"/>
      <c r="M7" s="312"/>
      <c r="N7" s="828"/>
      <c r="O7" s="829"/>
      <c r="P7" s="829"/>
      <c r="Q7" s="829"/>
      <c r="R7" s="830"/>
      <c r="S7" s="817"/>
      <c r="T7" s="817"/>
      <c r="U7" s="817"/>
      <c r="V7" s="817"/>
      <c r="W7" s="817"/>
      <c r="X7" s="818"/>
    </row>
    <row r="8" spans="1:24" ht="16.2" customHeight="1" thickTop="1" thickBot="1" x14ac:dyDescent="0.35">
      <c r="E8" s="812" t="s">
        <v>127</v>
      </c>
      <c r="F8" s="813"/>
      <c r="G8" s="813"/>
      <c r="H8" s="813"/>
      <c r="I8" s="813"/>
      <c r="J8" s="813"/>
      <c r="K8" s="813"/>
      <c r="L8" s="813"/>
      <c r="M8" s="813"/>
      <c r="N8" s="813"/>
      <c r="O8" s="813"/>
      <c r="P8" s="813"/>
      <c r="Q8" s="813"/>
      <c r="R8" s="813"/>
      <c r="S8" s="813"/>
      <c r="T8" s="813"/>
      <c r="U8" s="813"/>
      <c r="V8" s="813"/>
      <c r="W8" s="813"/>
      <c r="X8" s="814"/>
    </row>
    <row r="9" spans="1:24" ht="16.2" customHeight="1" thickTop="1" x14ac:dyDescent="0.3">
      <c r="E9" s="822" t="s">
        <v>126</v>
      </c>
      <c r="F9" s="823"/>
      <c r="G9" s="823"/>
      <c r="H9" s="823"/>
      <c r="I9" s="823"/>
      <c r="J9" s="823"/>
      <c r="K9" s="823"/>
      <c r="L9" s="823"/>
      <c r="M9" s="823"/>
      <c r="N9" s="823"/>
      <c r="O9" s="823"/>
      <c r="P9" s="823"/>
      <c r="Q9" s="823"/>
      <c r="R9" s="823"/>
      <c r="S9" s="823"/>
      <c r="T9" s="823"/>
      <c r="U9" s="823"/>
      <c r="V9" s="823"/>
      <c r="W9" s="823"/>
      <c r="X9" s="824"/>
    </row>
    <row r="10" spans="1:24" s="125" customFormat="1" ht="16.2" customHeight="1" x14ac:dyDescent="0.3">
      <c r="E10" s="313"/>
      <c r="F10" s="314"/>
      <c r="G10" s="315"/>
      <c r="H10" s="315"/>
      <c r="I10" s="315"/>
      <c r="J10" s="315"/>
      <c r="K10" s="315"/>
      <c r="L10" s="315"/>
      <c r="M10" s="315"/>
      <c r="N10" s="315"/>
      <c r="O10" s="315"/>
      <c r="P10" s="316"/>
      <c r="Q10" s="316"/>
      <c r="R10" s="316"/>
      <c r="S10" s="314"/>
      <c r="T10" s="314"/>
      <c r="U10" s="314"/>
      <c r="V10" s="316"/>
      <c r="W10" s="316"/>
      <c r="X10" s="317"/>
    </row>
    <row r="11" spans="1:24" s="125" customFormat="1" ht="16.2" customHeight="1" x14ac:dyDescent="0.3">
      <c r="E11" s="310"/>
      <c r="F11" s="311"/>
      <c r="G11" s="311"/>
      <c r="H11" s="311"/>
      <c r="I11" s="311"/>
      <c r="J11" s="311"/>
      <c r="K11" s="311"/>
      <c r="L11" s="311"/>
      <c r="M11" s="316"/>
      <c r="N11" s="316"/>
      <c r="O11" s="316"/>
      <c r="P11" s="316"/>
      <c r="Q11" s="316"/>
      <c r="R11" s="316"/>
      <c r="S11" s="314"/>
      <c r="T11" s="314"/>
      <c r="U11" s="314"/>
      <c r="V11" s="316"/>
      <c r="W11" s="316"/>
      <c r="X11" s="317"/>
    </row>
    <row r="12" spans="1:24" s="125" customFormat="1" ht="16.2" customHeight="1" x14ac:dyDescent="0.3">
      <c r="E12" s="310"/>
      <c r="F12" s="311"/>
      <c r="G12" s="311"/>
      <c r="H12" s="311"/>
      <c r="I12" s="311"/>
      <c r="J12" s="311"/>
      <c r="K12" s="311"/>
      <c r="L12" s="311"/>
      <c r="M12" s="316"/>
      <c r="N12" s="316"/>
      <c r="O12" s="316"/>
      <c r="P12" s="316"/>
      <c r="Q12" s="316"/>
      <c r="R12" s="316"/>
      <c r="S12" s="314"/>
      <c r="T12" s="314"/>
      <c r="U12" s="314"/>
      <c r="V12" s="316"/>
      <c r="W12" s="316"/>
      <c r="X12" s="317"/>
    </row>
    <row r="13" spans="1:24" ht="16.2" customHeight="1" x14ac:dyDescent="0.3">
      <c r="E13" s="298"/>
      <c r="F13" s="182"/>
      <c r="G13" s="318"/>
      <c r="H13" s="318"/>
      <c r="I13" s="319"/>
      <c r="J13" s="318"/>
      <c r="K13" s="318"/>
      <c r="L13" s="319"/>
      <c r="M13" s="318"/>
      <c r="N13" s="318"/>
      <c r="O13" s="319"/>
      <c r="P13" s="318"/>
      <c r="Q13" s="318"/>
      <c r="R13" s="319"/>
      <c r="S13" s="318"/>
      <c r="T13" s="318"/>
      <c r="U13" s="319"/>
      <c r="V13" s="318"/>
      <c r="W13" s="318"/>
      <c r="X13" s="320"/>
    </row>
    <row r="14" spans="1:24" ht="16.2" customHeight="1" x14ac:dyDescent="0.3">
      <c r="E14" s="321"/>
      <c r="F14" s="322"/>
      <c r="G14" s="323"/>
      <c r="H14" s="323"/>
      <c r="I14" s="324"/>
      <c r="J14" s="323"/>
      <c r="K14" s="323"/>
      <c r="L14" s="324"/>
      <c r="M14" s="323"/>
      <c r="N14" s="323"/>
      <c r="O14" s="324"/>
      <c r="P14" s="323"/>
      <c r="Q14" s="323"/>
      <c r="R14" s="324"/>
      <c r="S14" s="323"/>
      <c r="T14" s="323"/>
      <c r="U14" s="324"/>
      <c r="V14" s="323"/>
      <c r="W14" s="323"/>
      <c r="X14" s="325"/>
    </row>
    <row r="15" spans="1:24" ht="16.2" customHeight="1" x14ac:dyDescent="0.3">
      <c r="E15" s="321"/>
      <c r="F15" s="322"/>
      <c r="G15" s="323"/>
      <c r="H15" s="323"/>
      <c r="I15" s="324"/>
      <c r="J15" s="323"/>
      <c r="K15" s="323"/>
      <c r="L15" s="324"/>
      <c r="M15" s="323"/>
      <c r="N15" s="323"/>
      <c r="O15" s="324"/>
      <c r="P15" s="323"/>
      <c r="Q15" s="323"/>
      <c r="R15" s="324"/>
      <c r="S15" s="323"/>
      <c r="T15" s="323"/>
      <c r="U15" s="324"/>
      <c r="V15" s="323"/>
      <c r="W15" s="323"/>
      <c r="X15" s="325"/>
    </row>
    <row r="16" spans="1:24" ht="16.2" customHeight="1" x14ac:dyDescent="0.3">
      <c r="E16" s="321"/>
      <c r="F16" s="322"/>
      <c r="G16" s="323"/>
      <c r="H16" s="323"/>
      <c r="I16" s="324"/>
      <c r="J16" s="323"/>
      <c r="K16" s="323"/>
      <c r="L16" s="324"/>
      <c r="M16" s="323"/>
      <c r="N16" s="323"/>
      <c r="O16" s="324"/>
      <c r="P16" s="323"/>
      <c r="Q16" s="323"/>
      <c r="R16" s="324"/>
      <c r="S16" s="323"/>
      <c r="T16" s="323"/>
      <c r="U16" s="324"/>
      <c r="V16" s="326"/>
      <c r="W16" s="326"/>
      <c r="X16" s="325"/>
    </row>
    <row r="17" spans="5:24" ht="16.2" customHeight="1" x14ac:dyDescent="0.3">
      <c r="E17" s="321"/>
      <c r="F17" s="322"/>
      <c r="G17" s="326"/>
      <c r="H17" s="326"/>
      <c r="I17" s="324"/>
      <c r="J17" s="326"/>
      <c r="K17" s="326"/>
      <c r="L17" s="324"/>
      <c r="M17" s="326"/>
      <c r="N17" s="326"/>
      <c r="O17" s="324"/>
      <c r="P17" s="326"/>
      <c r="Q17" s="326"/>
      <c r="R17" s="324"/>
      <c r="S17" s="326"/>
      <c r="T17" s="326"/>
      <c r="U17" s="324"/>
      <c r="V17" s="326"/>
      <c r="W17" s="326"/>
      <c r="X17" s="325"/>
    </row>
    <row r="18" spans="5:24" ht="16.2" customHeight="1" x14ac:dyDescent="0.3">
      <c r="E18" s="327"/>
      <c r="F18" s="322"/>
      <c r="G18" s="328"/>
      <c r="H18" s="323"/>
      <c r="I18" s="324"/>
      <c r="J18" s="328"/>
      <c r="K18" s="323"/>
      <c r="L18" s="324"/>
      <c r="M18" s="328"/>
      <c r="N18" s="323"/>
      <c r="O18" s="324"/>
      <c r="P18" s="323"/>
      <c r="Q18" s="323"/>
      <c r="R18" s="324"/>
      <c r="S18" s="328"/>
      <c r="T18" s="323"/>
      <c r="U18" s="324"/>
      <c r="V18" s="328"/>
      <c r="W18" s="323"/>
      <c r="X18" s="325"/>
    </row>
    <row r="19" spans="5:24" ht="16.2" customHeight="1" x14ac:dyDescent="0.3">
      <c r="E19" s="327"/>
      <c r="F19" s="322"/>
      <c r="G19" s="323"/>
      <c r="H19" s="323"/>
      <c r="I19" s="324"/>
      <c r="J19" s="323"/>
      <c r="K19" s="323"/>
      <c r="L19" s="324"/>
      <c r="M19" s="323"/>
      <c r="N19" s="323"/>
      <c r="O19" s="324"/>
      <c r="P19" s="323"/>
      <c r="Q19" s="323"/>
      <c r="R19" s="324"/>
      <c r="S19" s="323"/>
      <c r="T19" s="323"/>
      <c r="U19" s="324"/>
      <c r="V19" s="328"/>
      <c r="W19" s="323"/>
      <c r="X19" s="325"/>
    </row>
    <row r="20" spans="5:24" ht="16.2" customHeight="1" x14ac:dyDescent="0.3">
      <c r="E20" s="329"/>
      <c r="F20" s="330"/>
      <c r="G20" s="330"/>
      <c r="H20" s="330"/>
      <c r="I20" s="330"/>
      <c r="J20" s="330"/>
      <c r="K20" s="330"/>
      <c r="L20" s="330"/>
      <c r="M20" s="330"/>
      <c r="N20" s="330"/>
      <c r="O20" s="330"/>
      <c r="P20" s="330"/>
      <c r="Q20" s="330"/>
      <c r="R20" s="330"/>
      <c r="S20" s="330"/>
      <c r="T20" s="330"/>
      <c r="U20" s="330"/>
      <c r="V20" s="330"/>
      <c r="W20" s="330"/>
      <c r="X20" s="331"/>
    </row>
    <row r="21" spans="5:24" ht="16.2" customHeight="1" x14ac:dyDescent="0.3">
      <c r="E21" s="819" t="s">
        <v>128</v>
      </c>
      <c r="F21" s="820"/>
      <c r="G21" s="820"/>
      <c r="H21" s="820"/>
      <c r="I21" s="820"/>
      <c r="J21" s="820"/>
      <c r="K21" s="820"/>
      <c r="L21" s="820"/>
      <c r="M21" s="820"/>
      <c r="N21" s="820"/>
      <c r="O21" s="820"/>
      <c r="P21" s="820"/>
      <c r="Q21" s="820"/>
      <c r="R21" s="820"/>
      <c r="S21" s="820"/>
      <c r="T21" s="820"/>
      <c r="U21" s="820"/>
      <c r="V21" s="820"/>
      <c r="W21" s="820"/>
      <c r="X21" s="821"/>
    </row>
    <row r="22" spans="5:24" ht="16.2" customHeight="1" x14ac:dyDescent="0.3">
      <c r="E22" s="332"/>
      <c r="F22" s="333"/>
      <c r="G22" s="120"/>
      <c r="H22" s="120"/>
      <c r="I22" s="120"/>
      <c r="J22" s="120"/>
      <c r="K22" s="120"/>
      <c r="L22" s="120"/>
      <c r="M22" s="120"/>
      <c r="N22" s="120"/>
      <c r="O22" s="120"/>
      <c r="P22" s="120"/>
      <c r="Q22" s="120"/>
      <c r="R22" s="120"/>
      <c r="S22" s="120"/>
      <c r="T22" s="120"/>
      <c r="U22" s="120"/>
      <c r="V22" s="120"/>
      <c r="W22" s="120"/>
      <c r="X22" s="121"/>
    </row>
    <row r="23" spans="5:24" ht="16.2" customHeight="1" x14ac:dyDescent="0.3">
      <c r="E23" s="332"/>
      <c r="F23" s="333"/>
      <c r="G23" s="120"/>
      <c r="H23" s="120"/>
      <c r="I23" s="120"/>
      <c r="J23" s="120"/>
      <c r="K23" s="120"/>
      <c r="L23" s="120"/>
      <c r="M23" s="120"/>
      <c r="N23" s="120"/>
      <c r="O23" s="120"/>
      <c r="P23" s="120"/>
      <c r="Q23" s="120"/>
      <c r="R23" s="120"/>
      <c r="S23" s="120"/>
      <c r="T23" s="120"/>
      <c r="U23" s="120"/>
      <c r="V23" s="120"/>
      <c r="W23" s="120"/>
      <c r="X23" s="121"/>
    </row>
    <row r="24" spans="5:24" ht="16.2" customHeight="1" x14ac:dyDescent="0.3">
      <c r="E24" s="332"/>
      <c r="F24" s="333"/>
      <c r="G24" s="120"/>
      <c r="H24" s="120"/>
      <c r="I24" s="120"/>
      <c r="J24" s="120"/>
      <c r="K24" s="120"/>
      <c r="L24" s="120"/>
      <c r="M24" s="120"/>
      <c r="N24" s="120"/>
      <c r="O24" s="120"/>
      <c r="P24" s="120"/>
      <c r="Q24" s="120"/>
      <c r="R24" s="120"/>
      <c r="S24" s="120"/>
      <c r="T24" s="120"/>
      <c r="U24" s="120"/>
      <c r="V24" s="120"/>
      <c r="W24" s="120"/>
      <c r="X24" s="121"/>
    </row>
    <row r="25" spans="5:24" ht="16.2" customHeight="1" x14ac:dyDescent="0.3">
      <c r="E25" s="332"/>
      <c r="F25" s="333"/>
      <c r="G25" s="120"/>
      <c r="H25" s="120"/>
      <c r="I25" s="120"/>
      <c r="J25" s="120"/>
      <c r="K25" s="120"/>
      <c r="L25" s="120"/>
      <c r="M25" s="120"/>
      <c r="N25" s="120"/>
      <c r="O25" s="120"/>
      <c r="P25" s="120"/>
      <c r="Q25" s="120"/>
      <c r="R25" s="120"/>
      <c r="S25" s="120"/>
      <c r="T25" s="120"/>
      <c r="U25" s="120"/>
      <c r="V25" s="120"/>
      <c r="W25" s="120"/>
      <c r="X25" s="121"/>
    </row>
    <row r="26" spans="5:24" ht="16.2" customHeight="1" x14ac:dyDescent="0.3">
      <c r="E26" s="334"/>
      <c r="F26" s="335"/>
      <c r="G26" s="120"/>
      <c r="H26" s="120"/>
      <c r="I26" s="120"/>
      <c r="J26" s="120"/>
      <c r="K26" s="120"/>
      <c r="L26" s="120"/>
      <c r="M26" s="120"/>
      <c r="N26" s="120"/>
      <c r="O26" s="120"/>
      <c r="P26" s="120"/>
      <c r="Q26" s="120"/>
      <c r="R26" s="120"/>
      <c r="S26" s="120"/>
      <c r="T26" s="120"/>
      <c r="U26" s="120"/>
      <c r="V26" s="120"/>
      <c r="W26" s="120"/>
      <c r="X26" s="121"/>
    </row>
    <row r="27" spans="5:24" ht="16.2" customHeight="1" x14ac:dyDescent="0.3">
      <c r="E27" s="332"/>
      <c r="F27" s="333"/>
      <c r="G27" s="333"/>
      <c r="H27" s="333"/>
      <c r="I27" s="333"/>
      <c r="J27" s="333"/>
      <c r="K27" s="333"/>
      <c r="L27" s="333"/>
      <c r="M27" s="333"/>
      <c r="N27" s="333"/>
      <c r="O27" s="333"/>
      <c r="P27" s="335"/>
      <c r="Q27" s="335"/>
      <c r="R27" s="335"/>
      <c r="S27" s="335"/>
      <c r="T27" s="335"/>
      <c r="U27" s="335"/>
      <c r="V27" s="335"/>
      <c r="W27" s="335"/>
      <c r="X27" s="336"/>
    </row>
    <row r="28" spans="5:24" ht="16.2" customHeight="1" x14ac:dyDescent="0.3">
      <c r="E28" s="119"/>
      <c r="F28" s="120"/>
      <c r="G28" s="120"/>
      <c r="H28" s="120"/>
      <c r="I28" s="120"/>
      <c r="J28" s="337"/>
      <c r="K28" s="337"/>
      <c r="L28" s="338"/>
      <c r="M28" s="333"/>
      <c r="N28" s="333"/>
      <c r="O28" s="333"/>
      <c r="P28" s="337"/>
      <c r="Q28" s="337"/>
      <c r="R28" s="338"/>
      <c r="S28" s="120"/>
      <c r="T28" s="120"/>
      <c r="U28" s="120"/>
      <c r="V28" s="120"/>
      <c r="W28" s="120"/>
      <c r="X28" s="121"/>
    </row>
    <row r="29" spans="5:24" ht="16.2" customHeight="1" x14ac:dyDescent="0.3">
      <c r="E29" s="119"/>
      <c r="F29" s="120"/>
      <c r="G29" s="120"/>
      <c r="H29" s="120"/>
      <c r="I29" s="120"/>
      <c r="J29" s="339"/>
      <c r="K29" s="339"/>
      <c r="L29" s="340"/>
      <c r="M29" s="120"/>
      <c r="N29" s="120"/>
      <c r="O29" s="120"/>
      <c r="P29" s="341"/>
      <c r="Q29" s="341"/>
      <c r="R29" s="340"/>
      <c r="S29" s="120"/>
      <c r="T29" s="120"/>
      <c r="U29" s="120"/>
      <c r="V29" s="120"/>
      <c r="W29" s="120"/>
      <c r="X29" s="121"/>
    </row>
    <row r="30" spans="5:24" ht="16.2" customHeight="1" x14ac:dyDescent="0.3">
      <c r="E30" s="119"/>
      <c r="F30" s="120"/>
      <c r="G30" s="120"/>
      <c r="H30" s="120"/>
      <c r="I30" s="120"/>
      <c r="J30" s="339"/>
      <c r="K30" s="339"/>
      <c r="L30" s="340"/>
      <c r="M30" s="120"/>
      <c r="N30" s="120"/>
      <c r="O30" s="120"/>
      <c r="P30" s="341"/>
      <c r="Q30" s="341"/>
      <c r="R30" s="340"/>
      <c r="S30" s="120"/>
      <c r="T30" s="120"/>
      <c r="U30" s="120"/>
      <c r="V30" s="120"/>
      <c r="W30" s="120"/>
      <c r="X30" s="121"/>
    </row>
    <row r="31" spans="5:24" ht="16.2" customHeight="1" x14ac:dyDescent="0.3">
      <c r="E31" s="119"/>
      <c r="F31" s="120"/>
      <c r="G31" s="120"/>
      <c r="H31" s="120"/>
      <c r="I31" s="120"/>
      <c r="J31" s="339"/>
      <c r="K31" s="339"/>
      <c r="L31" s="340"/>
      <c r="M31" s="120"/>
      <c r="N31" s="120"/>
      <c r="O31" s="120"/>
      <c r="P31" s="341"/>
      <c r="Q31" s="341"/>
      <c r="R31" s="340"/>
      <c r="S31" s="120"/>
      <c r="T31" s="120"/>
      <c r="U31" s="120"/>
      <c r="V31" s="120"/>
      <c r="W31" s="120"/>
      <c r="X31" s="121"/>
    </row>
    <row r="32" spans="5:24" ht="16.2" customHeight="1" x14ac:dyDescent="0.3">
      <c r="E32" s="119"/>
      <c r="F32" s="120"/>
      <c r="G32" s="120"/>
      <c r="H32" s="120"/>
      <c r="I32" s="120"/>
      <c r="J32" s="339"/>
      <c r="K32" s="339"/>
      <c r="L32" s="340"/>
      <c r="M32" s="120"/>
      <c r="N32" s="120"/>
      <c r="O32" s="120"/>
      <c r="P32" s="341"/>
      <c r="Q32" s="341"/>
      <c r="R32" s="340"/>
      <c r="S32" s="120"/>
      <c r="T32" s="120"/>
      <c r="U32" s="120"/>
      <c r="V32" s="120"/>
      <c r="W32" s="120"/>
      <c r="X32" s="121"/>
    </row>
    <row r="33" spans="4:24" ht="16.2" customHeight="1" x14ac:dyDescent="0.3">
      <c r="E33" s="819" t="s">
        <v>130</v>
      </c>
      <c r="F33" s="820"/>
      <c r="G33" s="820"/>
      <c r="H33" s="820"/>
      <c r="I33" s="820"/>
      <c r="J33" s="820"/>
      <c r="K33" s="821"/>
      <c r="L33" s="819" t="s">
        <v>131</v>
      </c>
      <c r="M33" s="820"/>
      <c r="N33" s="820"/>
      <c r="O33" s="820"/>
      <c r="P33" s="820"/>
      <c r="Q33" s="820"/>
      <c r="R33" s="820"/>
      <c r="S33" s="821"/>
      <c r="T33" s="819" t="s">
        <v>133</v>
      </c>
      <c r="U33" s="820"/>
      <c r="V33" s="820"/>
      <c r="W33" s="820"/>
      <c r="X33" s="821"/>
    </row>
    <row r="34" spans="4:24" ht="16.2" customHeight="1" x14ac:dyDescent="0.3">
      <c r="E34" s="342"/>
      <c r="F34" s="343"/>
      <c r="G34" s="343"/>
      <c r="H34" s="343"/>
      <c r="I34" s="343"/>
      <c r="J34" s="344"/>
      <c r="K34" s="344"/>
      <c r="L34" s="345"/>
      <c r="M34" s="346"/>
      <c r="N34" s="346"/>
      <c r="O34" s="346"/>
      <c r="P34" s="347"/>
      <c r="Q34" s="347"/>
      <c r="R34" s="345"/>
      <c r="S34" s="343"/>
      <c r="T34" s="343"/>
      <c r="U34" s="343"/>
      <c r="V34" s="343"/>
      <c r="W34" s="343"/>
      <c r="X34" s="348"/>
    </row>
    <row r="35" spans="4:24" ht="16.2" customHeight="1" x14ac:dyDescent="0.3">
      <c r="E35" s="342"/>
      <c r="F35" s="343"/>
      <c r="G35" s="343"/>
      <c r="H35" s="343"/>
      <c r="I35" s="343"/>
      <c r="J35" s="349"/>
      <c r="K35" s="349"/>
      <c r="L35" s="350"/>
      <c r="M35" s="343"/>
      <c r="N35" s="343"/>
      <c r="O35" s="343"/>
      <c r="P35" s="351"/>
      <c r="Q35" s="351"/>
      <c r="R35" s="350"/>
      <c r="S35" s="343"/>
      <c r="T35" s="343"/>
      <c r="U35" s="343"/>
      <c r="V35" s="343"/>
      <c r="W35" s="343"/>
      <c r="X35" s="348"/>
    </row>
    <row r="36" spans="4:24" ht="16.2" customHeight="1" thickBot="1" x14ac:dyDescent="0.35">
      <c r="E36" s="352"/>
      <c r="F36" s="353"/>
      <c r="G36" s="353"/>
      <c r="H36" s="353"/>
      <c r="I36" s="353"/>
      <c r="J36" s="354"/>
      <c r="K36" s="354"/>
      <c r="L36" s="355"/>
      <c r="M36" s="356"/>
      <c r="N36" s="356"/>
      <c r="O36" s="356"/>
      <c r="P36" s="357"/>
      <c r="Q36" s="357"/>
      <c r="R36" s="355"/>
      <c r="S36" s="353"/>
      <c r="T36" s="353"/>
      <c r="U36" s="353"/>
      <c r="V36" s="353"/>
      <c r="W36" s="353"/>
      <c r="X36" s="358"/>
    </row>
    <row r="37" spans="4:24" s="174" customFormat="1" ht="16.2" customHeight="1" thickTop="1" thickBot="1" x14ac:dyDescent="0.2">
      <c r="D37" s="170"/>
      <c r="E37" s="171" t="str">
        <f>REP.footer1</f>
        <v>This report is copyright © Global Tourism Solutions (UK) Ltd 2023</v>
      </c>
      <c r="F37" s="172"/>
      <c r="G37" s="172"/>
      <c r="H37" s="172"/>
      <c r="I37" s="172"/>
      <c r="J37" s="172"/>
      <c r="K37" s="172"/>
      <c r="L37" s="172"/>
      <c r="M37" s="172"/>
      <c r="N37" s="172"/>
      <c r="O37" s="172"/>
      <c r="P37" s="172"/>
      <c r="Q37" s="172"/>
      <c r="R37" s="172"/>
      <c r="S37" s="172"/>
      <c r="T37" s="172"/>
      <c r="U37" s="172"/>
      <c r="V37" s="172"/>
      <c r="W37" s="172"/>
      <c r="X37" s="173" t="str">
        <f>REP.footer2</f>
        <v>Report Prepared by: Cathy James. Date of Issue: 05/09/23</v>
      </c>
    </row>
    <row r="38" spans="4:24" ht="16.2" customHeight="1" thickTop="1" x14ac:dyDescent="0.3"/>
    <row r="69" spans="7:23" ht="16.2" customHeight="1" x14ac:dyDescent="0.3">
      <c r="G69" s="111" t="s">
        <v>43</v>
      </c>
      <c r="H69" s="111" t="s">
        <v>43</v>
      </c>
      <c r="J69" s="111" t="s">
        <v>48</v>
      </c>
      <c r="K69" s="111" t="s">
        <v>48</v>
      </c>
      <c r="M69" s="111" t="s">
        <v>18</v>
      </c>
      <c r="N69" s="111" t="s">
        <v>18</v>
      </c>
      <c r="P69" s="111" t="s">
        <v>95</v>
      </c>
      <c r="S69" s="111" t="s">
        <v>71</v>
      </c>
      <c r="T69" s="111" t="s">
        <v>71</v>
      </c>
      <c r="V69" s="111" t="s">
        <v>54</v>
      </c>
      <c r="W69" s="111" t="s">
        <v>54</v>
      </c>
    </row>
  </sheetData>
  <sheetProtection algorithmName="SHA-512" hashValue="pCWIrxGFsNQnywcBdv2tVWlpszzusTTzmkUxRMilxv1h2v1LrgAHJIKfQXAfrkGPcs9Y3hVX47b1+kZ9+RCQgg==" saltValue="jSzBVuS4uuYe7wDk4XMw8Q==" spinCount="100000" sheet="1" objects="1" scenarios="1"/>
  <mergeCells count="8">
    <mergeCell ref="E8:X8"/>
    <mergeCell ref="S6:X7"/>
    <mergeCell ref="E33:K33"/>
    <mergeCell ref="E9:X9"/>
    <mergeCell ref="L33:S33"/>
    <mergeCell ref="T33:X33"/>
    <mergeCell ref="E21:X21"/>
    <mergeCell ref="N6:R7"/>
  </mergeCells>
  <conditionalFormatting sqref="I14:I19 L14:L19 O14:O19 R14:R19 U14:U19 X14:X19 L29:L32 R29:R32 L34:L36 R34:R36">
    <cfRule type="cellIs" dxfId="189" priority="1" operator="greaterThanOrEqual">
      <formula>REP.percenthighlight</formula>
    </cfRule>
    <cfRule type="cellIs" dxfId="188" priority="2" operator="less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Drop Down 1">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25954" r:id="rId5" name="Drop Down 2">
              <controlPr defaultSize="0" autoLine="0" autoPict="0">
                <anchor moveWithCells="1">
                  <from>
                    <xdr:col>6</xdr:col>
                    <xdr:colOff>419100</xdr:colOff>
                    <xdr:row>4</xdr:row>
                    <xdr:rowOff>22860</xdr:rowOff>
                  </from>
                  <to>
                    <xdr:col>8</xdr:col>
                    <xdr:colOff>137160</xdr:colOff>
                    <xdr:row>4</xdr:row>
                    <xdr:rowOff>297180</xdr:rowOff>
                  </to>
                </anchor>
              </controlPr>
            </control>
          </mc:Choice>
        </mc:AlternateContent>
        <mc:AlternateContent xmlns:mc="http://schemas.openxmlformats.org/markup-compatibility/2006">
          <mc:Choice Requires="x14">
            <control shapeId="125955" r:id="rId6" name="Drop Down 3">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25956" r:id="rId7" name="Drop Down 4">
              <controlPr defaultSize="0" autoLine="0" autoPict="0">
                <anchor moveWithCells="1">
                  <from>
                    <xdr:col>4</xdr:col>
                    <xdr:colOff>601980</xdr:colOff>
                    <xdr:row>4</xdr:row>
                    <xdr:rowOff>22860</xdr:rowOff>
                  </from>
                  <to>
                    <xdr:col>4</xdr:col>
                    <xdr:colOff>1318260</xdr:colOff>
                    <xdr:row>4</xdr:row>
                    <xdr:rowOff>297180</xdr:rowOff>
                  </to>
                </anchor>
              </controlPr>
            </control>
          </mc:Choice>
        </mc:AlternateContent>
        <mc:AlternateContent xmlns:mc="http://schemas.openxmlformats.org/markup-compatibility/2006">
          <mc:Choice Requires="x14">
            <control shapeId="126009" r:id="rId8" name="Drop Down 57">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Client04">
    <tabColor rgb="FF00B0F0"/>
    <outlinePr showOutlineSymbols="0"/>
    <pageSetUpPr autoPageBreaks="0" fitToPage="1"/>
  </sheetPr>
  <dimension ref="A1:Z70"/>
  <sheetViews>
    <sheetView showGridLines="0" showRowColHeaders="0" showZeros="0" showOutlineSymbols="0" topLeftCell="A2" zoomScaleNormal="100" workbookViewId="0">
      <pane ySplit="6" topLeftCell="A26" activePane="bottomLeft" state="frozen"/>
      <selection activeCell="M48" sqref="M48"/>
      <selection pane="bottomLeft" activeCell="S40" sqref="S40"/>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USER GUIDE</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552" t="str">
        <f>REP.title1</f>
        <v>STEAM FINAL TREND REPORT FOR 2011-2022</v>
      </c>
      <c r="F6" s="553"/>
      <c r="G6" s="553"/>
      <c r="H6" s="553"/>
      <c r="I6" s="553"/>
      <c r="J6" s="553"/>
      <c r="K6" s="553"/>
      <c r="L6" s="553"/>
      <c r="M6" s="553"/>
      <c r="N6" s="553"/>
      <c r="O6" s="553"/>
      <c r="P6" s="557"/>
      <c r="Q6" s="557"/>
      <c r="R6" s="557"/>
      <c r="S6" s="831" t="s">
        <v>165</v>
      </c>
      <c r="T6" s="832"/>
      <c r="U6" s="832"/>
      <c r="V6" s="832"/>
      <c r="W6" s="832"/>
      <c r="X6" s="833"/>
    </row>
    <row r="7" spans="1:26" ht="16.2" customHeight="1" thickBot="1" x14ac:dyDescent="0.35">
      <c r="E7" s="554" t="str">
        <f>REP.title2</f>
        <v>NORTH WALES</v>
      </c>
      <c r="F7" s="555"/>
      <c r="G7" s="555"/>
      <c r="H7" s="555"/>
      <c r="I7" s="556"/>
      <c r="J7" s="556"/>
      <c r="K7" s="556"/>
      <c r="L7" s="556"/>
      <c r="M7" s="556"/>
      <c r="N7" s="556"/>
      <c r="O7" s="558"/>
      <c r="P7" s="558"/>
      <c r="Q7" s="558"/>
      <c r="R7" s="558"/>
      <c r="S7" s="834"/>
      <c r="T7" s="835"/>
      <c r="U7" s="835"/>
      <c r="V7" s="835"/>
      <c r="W7" s="835"/>
      <c r="X7" s="836"/>
    </row>
    <row r="8" spans="1:26"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6" s="125" customFormat="1" ht="16.2" customHeight="1" thickTop="1" thickBot="1" x14ac:dyDescent="0.35">
      <c r="E9" s="536"/>
      <c r="F9" s="537"/>
      <c r="G9" s="537"/>
      <c r="H9" s="537"/>
      <c r="I9" s="537"/>
      <c r="J9" s="537"/>
      <c r="K9" s="537"/>
      <c r="L9" s="537"/>
      <c r="M9" s="537"/>
      <c r="N9" s="538"/>
      <c r="O9" s="536"/>
      <c r="P9" s="537"/>
      <c r="Q9" s="537"/>
      <c r="R9" s="537"/>
      <c r="S9" s="537"/>
      <c r="T9" s="537"/>
      <c r="U9" s="537"/>
      <c r="V9" s="537"/>
      <c r="W9" s="537"/>
      <c r="X9" s="538"/>
    </row>
    <row r="10" spans="1:26" s="125" customFormat="1" ht="16.2" customHeight="1" thickTop="1" thickBot="1" x14ac:dyDescent="0.35">
      <c r="E10" s="241"/>
      <c r="F10" s="242"/>
      <c r="G10" s="243"/>
      <c r="H10" s="244"/>
      <c r="I10" s="244"/>
      <c r="J10" s="244"/>
      <c r="K10" s="244"/>
      <c r="L10" s="244"/>
      <c r="M10" s="244"/>
      <c r="N10" s="244"/>
      <c r="O10" s="244"/>
      <c r="P10" s="244"/>
      <c r="Q10" s="244"/>
      <c r="R10" s="245"/>
      <c r="S10" s="246"/>
      <c r="T10" s="246"/>
      <c r="U10" s="247"/>
      <c r="V10" s="248"/>
      <c r="W10" s="248"/>
      <c r="X10" s="249"/>
    </row>
    <row r="11" spans="1:26" s="125" customFormat="1" ht="16.2" customHeight="1" thickTop="1" thickBot="1" x14ac:dyDescent="0.35">
      <c r="E11" s="241"/>
      <c r="F11" s="242"/>
      <c r="G11" s="241"/>
      <c r="H11" s="250"/>
      <c r="I11" s="242"/>
      <c r="J11" s="241"/>
      <c r="K11" s="250"/>
      <c r="L11" s="242"/>
      <c r="M11" s="251"/>
      <c r="N11" s="252"/>
      <c r="O11" s="253"/>
      <c r="P11" s="251"/>
      <c r="Q11" s="252"/>
      <c r="R11" s="253"/>
      <c r="S11" s="254"/>
      <c r="T11" s="254"/>
      <c r="U11" s="255"/>
      <c r="V11" s="256"/>
      <c r="W11" s="256"/>
      <c r="X11" s="257"/>
    </row>
    <row r="12" spans="1:26" ht="16.2" customHeight="1" thickTop="1" thickBot="1" x14ac:dyDescent="0.35">
      <c r="E12" s="258"/>
      <c r="F12" s="259"/>
      <c r="G12" s="260"/>
      <c r="H12" s="260"/>
      <c r="I12" s="260"/>
      <c r="J12" s="260"/>
      <c r="K12" s="260"/>
      <c r="L12" s="260"/>
      <c r="M12" s="261"/>
      <c r="N12" s="261"/>
      <c r="O12" s="261"/>
      <c r="P12" s="261"/>
      <c r="Q12" s="261"/>
      <c r="R12" s="261"/>
      <c r="S12" s="262"/>
      <c r="T12" s="262"/>
      <c r="U12" s="263"/>
      <c r="V12" s="263"/>
      <c r="W12" s="213"/>
      <c r="X12" s="213"/>
    </row>
    <row r="13" spans="1:26" ht="16.2" customHeight="1" thickTop="1" thickBot="1" x14ac:dyDescent="0.35">
      <c r="E13" s="264"/>
      <c r="F13" s="264"/>
      <c r="G13" s="135"/>
      <c r="H13" s="135"/>
      <c r="I13" s="135"/>
      <c r="J13" s="135"/>
      <c r="K13" s="135"/>
      <c r="L13" s="135"/>
      <c r="M13" s="192"/>
      <c r="N13" s="192"/>
      <c r="O13" s="192"/>
      <c r="P13" s="192"/>
      <c r="Q13" s="192"/>
      <c r="R13" s="192"/>
      <c r="S13" s="192"/>
      <c r="T13" s="265"/>
      <c r="U13" s="135"/>
      <c r="V13" s="135"/>
      <c r="W13" s="135"/>
      <c r="X13" s="135"/>
    </row>
    <row r="14" spans="1:26" ht="16.2" customHeight="1" thickTop="1" thickBot="1" x14ac:dyDescent="0.35">
      <c r="E14" s="264"/>
      <c r="F14" s="264"/>
      <c r="G14" s="135"/>
      <c r="H14" s="135"/>
      <c r="I14" s="135"/>
      <c r="J14" s="135"/>
      <c r="K14" s="135"/>
      <c r="L14" s="135"/>
      <c r="M14" s="192"/>
      <c r="N14" s="192"/>
      <c r="O14" s="192"/>
      <c r="P14" s="192"/>
      <c r="Q14" s="192"/>
      <c r="R14" s="192"/>
      <c r="S14" s="192"/>
      <c r="T14" s="265"/>
      <c r="U14" s="135"/>
      <c r="V14" s="135"/>
      <c r="W14" s="135"/>
      <c r="X14" s="135"/>
    </row>
    <row r="15" spans="1:26" ht="16.2" customHeight="1" thickTop="1" thickBot="1" x14ac:dyDescent="0.35">
      <c r="E15" s="264"/>
      <c r="F15" s="264"/>
      <c r="G15" s="135"/>
      <c r="H15" s="135"/>
      <c r="I15" s="135"/>
      <c r="J15" s="135"/>
      <c r="K15" s="135"/>
      <c r="L15" s="135"/>
      <c r="M15" s="192"/>
      <c r="N15" s="192"/>
      <c r="O15" s="192"/>
      <c r="P15" s="192"/>
      <c r="Q15" s="192"/>
      <c r="R15" s="192"/>
      <c r="S15" s="192"/>
      <c r="T15" s="265"/>
      <c r="U15" s="135"/>
      <c r="V15" s="135"/>
      <c r="W15" s="135"/>
      <c r="X15" s="135"/>
    </row>
    <row r="16" spans="1:26" ht="16.2" customHeight="1" thickTop="1" thickBot="1" x14ac:dyDescent="0.35">
      <c r="E16" s="266"/>
      <c r="F16" s="267"/>
      <c r="G16" s="268"/>
      <c r="H16" s="268"/>
      <c r="I16" s="268"/>
      <c r="J16" s="268"/>
      <c r="K16" s="268"/>
      <c r="L16" s="268"/>
      <c r="M16" s="269"/>
      <c r="N16" s="269"/>
      <c r="O16" s="269"/>
      <c r="P16" s="269"/>
      <c r="Q16" s="269"/>
      <c r="R16" s="269"/>
      <c r="S16" s="269"/>
      <c r="T16" s="265"/>
      <c r="U16" s="268"/>
      <c r="V16" s="268"/>
      <c r="W16" s="269"/>
      <c r="X16" s="269"/>
      <c r="Y16" s="270"/>
      <c r="Z16" s="111" t="b">
        <f>K16&gt;1000000</f>
        <v>0</v>
      </c>
    </row>
    <row r="17" spans="4:24" ht="16.2" customHeight="1" thickTop="1" thickBot="1" x14ac:dyDescent="0.35">
      <c r="E17" s="266"/>
      <c r="F17" s="267"/>
      <c r="G17" s="268"/>
      <c r="H17" s="268"/>
      <c r="I17" s="268"/>
      <c r="J17" s="268"/>
      <c r="K17" s="268"/>
      <c r="L17" s="268"/>
      <c r="M17" s="269"/>
      <c r="N17" s="269"/>
      <c r="O17" s="269"/>
      <c r="P17" s="269"/>
      <c r="Q17" s="269"/>
      <c r="R17" s="269"/>
      <c r="S17" s="269"/>
      <c r="T17" s="135"/>
      <c r="U17" s="268"/>
      <c r="V17" s="268"/>
      <c r="W17" s="269"/>
      <c r="X17" s="269"/>
    </row>
    <row r="18" spans="4:24" ht="16.2" customHeight="1" thickTop="1" thickBot="1" x14ac:dyDescent="0.35">
      <c r="E18" s="266"/>
      <c r="F18" s="267"/>
      <c r="G18" s="268"/>
      <c r="H18" s="268"/>
      <c r="I18" s="268"/>
      <c r="J18" s="268"/>
      <c r="K18" s="268"/>
      <c r="L18" s="268"/>
      <c r="M18" s="269"/>
      <c r="N18" s="269"/>
      <c r="O18" s="269"/>
      <c r="P18" s="269"/>
      <c r="Q18" s="269"/>
      <c r="R18" s="269"/>
      <c r="S18" s="269"/>
      <c r="T18" s="135"/>
      <c r="U18" s="268"/>
      <c r="V18" s="268"/>
      <c r="W18" s="269"/>
      <c r="X18" s="269"/>
    </row>
    <row r="19" spans="4:24" ht="16.2" customHeight="1" thickTop="1" thickBot="1" x14ac:dyDescent="0.35">
      <c r="E19" s="266"/>
      <c r="F19" s="229"/>
      <c r="G19" s="271"/>
      <c r="H19" s="271"/>
      <c r="I19" s="271"/>
      <c r="J19" s="271"/>
      <c r="K19" s="271"/>
      <c r="L19" s="271"/>
      <c r="M19" s="272"/>
      <c r="N19" s="272"/>
      <c r="O19" s="273"/>
      <c r="P19" s="272"/>
      <c r="Q19" s="272"/>
      <c r="R19" s="272"/>
      <c r="S19" s="272"/>
      <c r="T19" s="274"/>
      <c r="U19" s="271"/>
      <c r="V19" s="271"/>
      <c r="W19" s="272"/>
      <c r="X19" s="275"/>
    </row>
    <row r="20" spans="4:24" ht="16.2" customHeight="1" thickTop="1" thickBot="1" x14ac:dyDescent="0.35">
      <c r="E20" s="243"/>
      <c r="F20" s="244"/>
      <c r="G20" s="244"/>
      <c r="H20" s="244"/>
      <c r="I20" s="244"/>
      <c r="J20" s="244"/>
      <c r="K20" s="244"/>
      <c r="L20" s="244"/>
      <c r="M20" s="244"/>
      <c r="N20" s="244"/>
      <c r="O20" s="543"/>
      <c r="P20" s="544"/>
      <c r="Q20" s="544"/>
      <c r="R20" s="544"/>
      <c r="S20" s="544"/>
      <c r="T20" s="544"/>
      <c r="U20" s="544"/>
      <c r="V20" s="544"/>
      <c r="W20" s="544"/>
      <c r="X20" s="545"/>
    </row>
    <row r="21" spans="4:24" ht="16.2" customHeight="1" thickTop="1" thickBot="1" x14ac:dyDescent="0.35">
      <c r="E21" s="536"/>
      <c r="F21" s="537"/>
      <c r="G21" s="537"/>
      <c r="H21" s="537"/>
      <c r="I21" s="537"/>
      <c r="J21" s="537"/>
      <c r="K21" s="537"/>
      <c r="L21" s="537"/>
      <c r="M21" s="537"/>
      <c r="N21" s="538"/>
      <c r="O21" s="536"/>
      <c r="P21" s="537"/>
      <c r="Q21" s="537"/>
      <c r="R21" s="537"/>
      <c r="S21" s="537"/>
      <c r="T21" s="537"/>
      <c r="U21" s="537"/>
      <c r="V21" s="537"/>
      <c r="W21" s="537"/>
      <c r="X21" s="538"/>
    </row>
    <row r="22" spans="4:24" ht="16.2" customHeight="1" thickTop="1" thickBot="1" x14ac:dyDescent="0.35">
      <c r="E22" s="241"/>
      <c r="F22" s="242"/>
      <c r="G22" s="243"/>
      <c r="H22" s="244"/>
      <c r="I22" s="244"/>
      <c r="J22" s="244"/>
      <c r="K22" s="244"/>
      <c r="L22" s="244"/>
      <c r="M22" s="244"/>
      <c r="N22" s="244"/>
      <c r="O22" s="241"/>
      <c r="P22" s="242"/>
      <c r="Q22" s="243"/>
      <c r="R22" s="244"/>
      <c r="S22" s="244"/>
      <c r="T22" s="244"/>
      <c r="U22" s="244"/>
      <c r="V22" s="244"/>
      <c r="W22" s="244"/>
      <c r="X22" s="245"/>
    </row>
    <row r="23" spans="4:24" ht="16.2" customHeight="1" thickTop="1" thickBot="1" x14ac:dyDescent="0.35">
      <c r="E23" s="241"/>
      <c r="F23" s="242"/>
      <c r="G23" s="241"/>
      <c r="H23" s="250"/>
      <c r="I23" s="242"/>
      <c r="J23" s="241"/>
      <c r="K23" s="250"/>
      <c r="L23" s="242"/>
      <c r="M23" s="251"/>
      <c r="N23" s="252"/>
      <c r="O23" s="241"/>
      <c r="P23" s="242"/>
      <c r="Q23" s="241"/>
      <c r="R23" s="250"/>
      <c r="S23" s="242"/>
      <c r="T23" s="241"/>
      <c r="U23" s="250"/>
      <c r="V23" s="242"/>
      <c r="W23" s="251"/>
      <c r="X23" s="253"/>
    </row>
    <row r="24" spans="4:24" ht="16.2" customHeight="1" thickTop="1" thickBot="1" x14ac:dyDescent="0.35">
      <c r="E24" s="258"/>
      <c r="F24" s="259"/>
      <c r="G24" s="260"/>
      <c r="H24" s="260"/>
      <c r="I24" s="260"/>
      <c r="J24" s="260"/>
      <c r="K24" s="260"/>
      <c r="L24" s="260"/>
      <c r="M24" s="261"/>
      <c r="N24" s="261"/>
      <c r="O24" s="258"/>
      <c r="P24" s="259"/>
      <c r="Q24" s="260"/>
      <c r="R24" s="260"/>
      <c r="S24" s="260"/>
      <c r="T24" s="260"/>
      <c r="U24" s="260"/>
      <c r="V24" s="260"/>
      <c r="W24" s="261"/>
      <c r="X24" s="133"/>
    </row>
    <row r="25" spans="4:24" ht="16.2" customHeight="1" thickTop="1" thickBot="1" x14ac:dyDescent="0.35">
      <c r="E25" s="264"/>
      <c r="F25" s="264"/>
      <c r="G25" s="135"/>
      <c r="H25" s="135"/>
      <c r="I25" s="135"/>
      <c r="J25" s="135"/>
      <c r="K25" s="135"/>
      <c r="L25" s="135"/>
      <c r="M25" s="192"/>
      <c r="N25" s="192"/>
      <c r="O25" s="264"/>
      <c r="P25" s="264"/>
      <c r="Q25" s="135"/>
      <c r="R25" s="135"/>
      <c r="S25" s="135"/>
      <c r="T25" s="135"/>
      <c r="U25" s="135"/>
      <c r="V25" s="135"/>
      <c r="W25" s="192"/>
      <c r="X25" s="192"/>
    </row>
    <row r="26" spans="4:24" ht="16.2" customHeight="1" thickTop="1" thickBot="1" x14ac:dyDescent="0.35">
      <c r="E26" s="264"/>
      <c r="F26" s="264"/>
      <c r="G26" s="135"/>
      <c r="H26" s="135"/>
      <c r="I26" s="135"/>
      <c r="J26" s="135"/>
      <c r="K26" s="135"/>
      <c r="L26" s="135"/>
      <c r="M26" s="192"/>
      <c r="N26" s="192"/>
      <c r="O26" s="264"/>
      <c r="P26" s="264"/>
      <c r="Q26" s="135"/>
      <c r="R26" s="135"/>
      <c r="S26" s="135"/>
      <c r="T26" s="135"/>
      <c r="U26" s="135"/>
      <c r="V26" s="135"/>
      <c r="W26" s="192"/>
      <c r="X26" s="192"/>
    </row>
    <row r="27" spans="4:24" ht="16.2" customHeight="1" thickTop="1" thickBot="1" x14ac:dyDescent="0.35">
      <c r="D27" s="196" t="str">
        <f ca="1">"'"&amp;$A$1&amp;"'!"&amp;CELL("address",G27)&amp;":"&amp;CELL("address",OFFSET(G27,0,COUNT(REP.yearsrange)-1))</f>
        <v>'USER GUIDE'!$G$27:$R$27</v>
      </c>
      <c r="E27" s="264"/>
      <c r="F27" s="264"/>
      <c r="G27" s="135"/>
      <c r="H27" s="135"/>
      <c r="I27" s="135"/>
      <c r="J27" s="135"/>
      <c r="K27" s="135"/>
      <c r="L27" s="135"/>
      <c r="M27" s="192"/>
      <c r="N27" s="192"/>
      <c r="O27" s="264"/>
      <c r="P27" s="264"/>
      <c r="Q27" s="135"/>
      <c r="R27" s="135"/>
      <c r="S27" s="135"/>
      <c r="T27" s="135"/>
      <c r="U27" s="135"/>
      <c r="V27" s="135"/>
      <c r="W27" s="192"/>
      <c r="X27" s="192"/>
    </row>
    <row r="28" spans="4:24" ht="16.2" customHeight="1" thickTop="1" thickBot="1" x14ac:dyDescent="0.35">
      <c r="D28" s="196" t="str">
        <f ca="1">"'"&amp;$A$1&amp;"'!"&amp;CELL("address",G28)&amp;":"&amp;CELL("address",OFFSET(G28,0,COUNT(REP.yearsrange)-1))</f>
        <v>'USER GUIDE'!$G$28:$R$28</v>
      </c>
      <c r="E28" s="266"/>
      <c r="F28" s="267"/>
      <c r="G28" s="268"/>
      <c r="H28" s="268"/>
      <c r="I28" s="268"/>
      <c r="J28" s="268"/>
      <c r="K28" s="268"/>
      <c r="L28" s="268"/>
      <c r="M28" s="269"/>
      <c r="N28" s="269"/>
      <c r="O28" s="266"/>
      <c r="P28" s="267"/>
      <c r="Q28" s="268"/>
      <c r="R28" s="268"/>
      <c r="S28" s="268"/>
      <c r="T28" s="268"/>
      <c r="U28" s="268"/>
      <c r="V28" s="268"/>
      <c r="W28" s="269"/>
      <c r="X28" s="269"/>
    </row>
    <row r="29" spans="4:24" ht="16.2" customHeight="1" thickTop="1" thickBot="1" x14ac:dyDescent="0.35">
      <c r="D29" s="196" t="str">
        <f ca="1">"'"&amp;$A$1&amp;"'!"&amp;CELL("address",G29)&amp;":"&amp;CELL("address",OFFSET(G29,0,COUNT(REP.yearsrange)-1))</f>
        <v>'USER GUIDE'!$G$29:$R$29</v>
      </c>
      <c r="E29" s="266"/>
      <c r="F29" s="267"/>
      <c r="G29" s="268"/>
      <c r="H29" s="268"/>
      <c r="I29" s="268"/>
      <c r="J29" s="268"/>
      <c r="K29" s="268"/>
      <c r="L29" s="268"/>
      <c r="M29" s="269"/>
      <c r="N29" s="269"/>
      <c r="O29" s="266"/>
      <c r="P29" s="267"/>
      <c r="Q29" s="268"/>
      <c r="R29" s="268"/>
      <c r="S29" s="268"/>
      <c r="T29" s="268"/>
      <c r="U29" s="268"/>
      <c r="V29" s="268"/>
      <c r="W29" s="269"/>
      <c r="X29" s="269"/>
    </row>
    <row r="30" spans="4:24" ht="16.2" customHeight="1" thickTop="1" thickBot="1" x14ac:dyDescent="0.35">
      <c r="D30" s="196" t="str">
        <f ca="1">"'"&amp;$A$1&amp;"'!"&amp;CELL("address",G30)&amp;":"&amp;CELL("address",OFFSET(G30,0,COUNT(REP.yearsrange)-1))</f>
        <v>'USER GUIDE'!$G$30:$R$30</v>
      </c>
      <c r="E30" s="266"/>
      <c r="F30" s="267"/>
      <c r="G30" s="268"/>
      <c r="H30" s="268"/>
      <c r="I30" s="268"/>
      <c r="J30" s="268"/>
      <c r="K30" s="268"/>
      <c r="L30" s="268"/>
      <c r="M30" s="269"/>
      <c r="N30" s="269"/>
      <c r="O30" s="266"/>
      <c r="P30" s="267"/>
      <c r="Q30" s="268"/>
      <c r="R30" s="268"/>
      <c r="S30" s="268"/>
      <c r="T30" s="268"/>
      <c r="U30" s="268"/>
      <c r="V30" s="268"/>
      <c r="W30" s="269"/>
      <c r="X30" s="269"/>
    </row>
    <row r="31" spans="4:24" ht="16.2" customHeight="1" thickTop="1" thickBot="1" x14ac:dyDescent="0.35">
      <c r="D31" s="196" t="str">
        <f ca="1">"'"&amp;$A$1&amp;"'!"&amp;CELL("address",G31)&amp;":"&amp;CELL("address",OFFSET(G31,0,COUNT(REP.yearsrange)-1))</f>
        <v>'USER GUIDE'!$G$31:$R$31</v>
      </c>
      <c r="E31" s="266"/>
      <c r="F31" s="267"/>
      <c r="G31" s="268"/>
      <c r="H31" s="268"/>
      <c r="I31" s="268"/>
      <c r="J31" s="268"/>
      <c r="K31" s="268"/>
      <c r="L31" s="268"/>
      <c r="M31" s="269"/>
      <c r="N31" s="269"/>
      <c r="O31" s="266"/>
      <c r="P31" s="267"/>
      <c r="Q31" s="268"/>
      <c r="R31" s="268"/>
      <c r="S31" s="268"/>
      <c r="T31" s="268"/>
      <c r="U31" s="268"/>
      <c r="V31" s="268"/>
      <c r="W31" s="269"/>
      <c r="X31" s="269"/>
    </row>
    <row r="32" spans="4:24" ht="16.2" customHeight="1" thickTop="1" thickBot="1" x14ac:dyDescent="0.35">
      <c r="D32" s="196" t="str">
        <f ca="1">"'"&amp;$A$1&amp;"'!"&amp;CELL("address",G32)&amp;":"&amp;CELL("address",OFFSET(G32,0,COUNT(REP.yearsrange)-1))</f>
        <v>'USER GUIDE'!$G$32:$R$32</v>
      </c>
      <c r="E32" s="243"/>
      <c r="F32" s="245"/>
      <c r="G32" s="546"/>
      <c r="H32" s="546"/>
      <c r="I32" s="547"/>
      <c r="J32" s="547"/>
      <c r="K32" s="547"/>
      <c r="L32" s="547"/>
      <c r="M32" s="547"/>
      <c r="N32" s="547"/>
      <c r="O32" s="547"/>
      <c r="P32" s="547"/>
      <c r="Q32" s="547"/>
      <c r="R32" s="547"/>
      <c r="S32" s="268"/>
      <c r="T32" s="539"/>
      <c r="U32" s="539"/>
      <c r="V32" s="539"/>
      <c r="W32" s="539"/>
      <c r="X32" s="540"/>
    </row>
    <row r="33" spans="4:24" ht="16.2" customHeight="1" thickTop="1" thickBot="1" x14ac:dyDescent="0.35">
      <c r="D33" s="196"/>
      <c r="E33" s="548"/>
      <c r="F33" s="549"/>
      <c r="G33" s="135"/>
      <c r="H33" s="135"/>
      <c r="I33" s="135"/>
      <c r="J33" s="135"/>
      <c r="K33" s="135"/>
      <c r="L33" s="135"/>
      <c r="M33" s="135"/>
      <c r="N33" s="135"/>
      <c r="O33" s="135"/>
      <c r="P33" s="135"/>
      <c r="Q33" s="135"/>
      <c r="R33" s="135"/>
      <c r="S33" s="276"/>
      <c r="T33" s="541"/>
      <c r="U33" s="541"/>
      <c r="V33" s="541"/>
      <c r="W33" s="541"/>
      <c r="X33" s="542"/>
    </row>
    <row r="34" spans="4:24" ht="16.2" customHeight="1" thickTop="1" thickBot="1" x14ac:dyDescent="0.35">
      <c r="D34" s="196"/>
      <c r="E34" s="548"/>
      <c r="F34" s="549"/>
      <c r="G34" s="135"/>
      <c r="H34" s="135"/>
      <c r="I34" s="135"/>
      <c r="J34" s="135"/>
      <c r="K34" s="135"/>
      <c r="L34" s="135"/>
      <c r="M34" s="135"/>
      <c r="N34" s="135"/>
      <c r="O34" s="135"/>
      <c r="P34" s="135"/>
      <c r="Q34" s="135"/>
      <c r="R34" s="135"/>
      <c r="S34" s="276"/>
      <c r="T34" s="276"/>
      <c r="U34" s="276"/>
      <c r="V34" s="276"/>
      <c r="W34" s="277"/>
      <c r="X34" s="278"/>
    </row>
    <row r="35" spans="4:24" ht="16.2" customHeight="1" thickTop="1" thickBot="1" x14ac:dyDescent="0.35">
      <c r="D35" s="196"/>
      <c r="E35" s="548"/>
      <c r="F35" s="549"/>
      <c r="G35" s="135"/>
      <c r="H35" s="135"/>
      <c r="I35" s="135"/>
      <c r="J35" s="135"/>
      <c r="K35" s="135"/>
      <c r="L35" s="135"/>
      <c r="M35" s="135"/>
      <c r="N35" s="135"/>
      <c r="O35" s="135"/>
      <c r="P35" s="135"/>
      <c r="Q35" s="135"/>
      <c r="R35" s="135"/>
      <c r="S35" s="276"/>
      <c r="T35" s="276"/>
      <c r="U35" s="276"/>
      <c r="V35" s="276"/>
      <c r="W35" s="277"/>
      <c r="X35" s="278"/>
    </row>
    <row r="36" spans="4:24" ht="16.2" customHeight="1" thickTop="1" thickBot="1" x14ac:dyDescent="0.35">
      <c r="D36" s="196"/>
      <c r="E36" s="548"/>
      <c r="F36" s="549"/>
      <c r="G36" s="135"/>
      <c r="H36" s="135"/>
      <c r="I36" s="135"/>
      <c r="J36" s="135"/>
      <c r="K36" s="135"/>
      <c r="L36" s="135"/>
      <c r="M36" s="135"/>
      <c r="N36" s="135"/>
      <c r="O36" s="135"/>
      <c r="P36" s="135"/>
      <c r="Q36" s="135"/>
      <c r="R36" s="135"/>
      <c r="S36" s="276"/>
      <c r="T36" s="276"/>
      <c r="U36" s="276"/>
      <c r="V36" s="276"/>
      <c r="W36" s="277"/>
      <c r="X36" s="278"/>
    </row>
    <row r="37" spans="4:24" ht="16.2" customHeight="1" thickTop="1" thickBot="1" x14ac:dyDescent="0.35">
      <c r="D37" s="196"/>
      <c r="E37" s="550"/>
      <c r="F37" s="551"/>
      <c r="G37" s="135"/>
      <c r="H37" s="135"/>
      <c r="I37" s="135"/>
      <c r="J37" s="135"/>
      <c r="K37" s="135"/>
      <c r="L37" s="135"/>
      <c r="M37" s="135"/>
      <c r="N37" s="135"/>
      <c r="O37" s="135"/>
      <c r="P37" s="135"/>
      <c r="Q37" s="135"/>
      <c r="R37" s="135"/>
      <c r="S37" s="276"/>
      <c r="T37" s="276"/>
      <c r="U37" s="276"/>
      <c r="V37" s="276"/>
      <c r="W37" s="277"/>
      <c r="X37" s="278"/>
    </row>
    <row r="38" spans="4:24"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D2ihXCChcOY8/xWC5rkI24Q7FNKu2I+hkkCohEOncNRDUlLf2M+zjOOUGdEunYzhHdCVlyrDHxpNwFX2uCqGJg==" saltValue="vCxoizy4ZQrXTeSdc3WS2A==" spinCount="100000" sheet="1" objects="1" scenarios="1"/>
  <mergeCells count="1">
    <mergeCell ref="S6:X7"/>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Output01">
    <tabColor rgb="FFFFC000"/>
    <outlinePr showOutlineSymbols="0"/>
    <pageSetUpPr autoPageBreaks="0" fitToPage="1"/>
  </sheetPr>
  <dimension ref="A1:AA68"/>
  <sheetViews>
    <sheetView showGridLines="0" showRowColHeaders="0" showZeros="0" showOutlineSymbols="0" topLeftCell="A2" zoomScaleNormal="100" workbookViewId="0">
      <pane ySplit="6" topLeftCell="A8" activePane="bottomLeft" state="frozen"/>
      <selection activeCell="M48" sqref="M48"/>
      <selection pane="bottomLeft" activeCell="W15" sqref="W15"/>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7" ht="16.2" hidden="1" customHeight="1" x14ac:dyDescent="0.3">
      <c r="A1" s="110" t="str">
        <f ca="1">MID(CELL("filename",A1),FIND("]",CELL("filename",A1))+1,255)</f>
        <v>COMPARATIVE HEADLINES</v>
      </c>
      <c r="E1" s="113"/>
      <c r="F1" s="114"/>
      <c r="G1" s="114"/>
      <c r="H1" s="114"/>
      <c r="I1" s="114"/>
      <c r="J1" s="114"/>
      <c r="K1" s="114"/>
      <c r="L1" s="114"/>
      <c r="M1" s="114"/>
      <c r="N1" s="114"/>
      <c r="O1" s="114"/>
      <c r="P1" s="114"/>
      <c r="Q1" s="114"/>
      <c r="R1" s="114"/>
      <c r="S1" s="114"/>
      <c r="T1" s="114"/>
      <c r="U1" s="114"/>
      <c r="V1" s="114"/>
      <c r="W1" s="114"/>
      <c r="X1" s="115"/>
    </row>
    <row r="2" spans="1:27" ht="16.2" customHeight="1" thickTop="1" x14ac:dyDescent="0.3">
      <c r="A2" s="618">
        <f>IF(($A$3/1000000)&gt;1,1000000,IF(($A$3/1000)&gt;1,1000,1))</f>
        <v>1000000</v>
      </c>
      <c r="B2" s="618">
        <f>IF((B3/1000000)&gt;1,1000000,IF((B3/1000)&gt;1,1000,1))</f>
        <v>1000</v>
      </c>
      <c r="C2" s="618">
        <f>B2</f>
        <v>1000</v>
      </c>
      <c r="D2" s="619"/>
      <c r="E2" s="116"/>
      <c r="F2" s="117"/>
      <c r="G2" s="117"/>
      <c r="H2" s="117"/>
      <c r="I2" s="117"/>
      <c r="J2" s="117"/>
      <c r="K2" s="117"/>
      <c r="L2" s="117"/>
      <c r="M2" s="117"/>
      <c r="N2" s="117"/>
      <c r="O2" s="117"/>
      <c r="P2" s="117"/>
      <c r="Q2" s="117"/>
      <c r="R2" s="117"/>
      <c r="S2" s="117"/>
      <c r="T2" s="117"/>
      <c r="U2" s="117"/>
      <c r="V2" s="117"/>
      <c r="W2" s="117"/>
      <c r="X2" s="118"/>
    </row>
    <row r="3" spans="1:27" ht="26.4" customHeight="1" x14ac:dyDescent="0.3">
      <c r="A3" s="661">
        <f>VLOOKUP(FOCUSYEAR&amp;"."&amp;$E16&amp;"."&amp;V$68,REP.data,18,FALSE)</f>
        <v>4158133.7610782213</v>
      </c>
      <c r="B3" s="620">
        <f>VLOOKUP(FOCUSYEAR&amp;"."&amp;$E14&amp;"."&amp;V$68,REP.data,18,FALSE)</f>
        <v>30964.403794480586</v>
      </c>
      <c r="C3" s="620">
        <f>VLOOKUP(FOCUSYEAR&amp;"."&amp;$E13&amp;"."&amp;V$68,REP.data,18,FALSE)</f>
        <v>69978.224310341902</v>
      </c>
      <c r="D3" s="619"/>
      <c r="E3" s="119"/>
      <c r="F3" s="120"/>
      <c r="G3" s="120"/>
      <c r="H3" s="120"/>
      <c r="I3" s="120"/>
      <c r="J3" s="120"/>
      <c r="K3" s="120"/>
      <c r="L3" s="120"/>
      <c r="M3" s="120"/>
      <c r="N3" s="120"/>
      <c r="O3" s="120"/>
      <c r="P3" s="120"/>
      <c r="Q3" s="120"/>
      <c r="R3" s="120"/>
      <c r="S3" s="120"/>
      <c r="T3" s="120"/>
      <c r="U3" s="120"/>
      <c r="V3" s="120"/>
      <c r="W3" s="120"/>
      <c r="X3" s="121"/>
    </row>
    <row r="4" spans="1:27" ht="26.4" customHeight="1" x14ac:dyDescent="0.3">
      <c r="A4" s="621" t="str">
        <f>IFERROR(IF(A$2=1,"£000s",IF(A$2=1000,"£M","£Bn")),"")</f>
        <v>£Bn</v>
      </c>
      <c r="B4" s="621" t="str">
        <f>IFERROR(IF(B$2=1,"000s",IF(B$2=1000,"M","Bn")),"")</f>
        <v>M</v>
      </c>
      <c r="C4" s="621" t="str">
        <f>IFERROR(IF(C$2=1,"000s",IF(C$2=1000,"M","Bn")),"")</f>
        <v>M</v>
      </c>
      <c r="D4" s="619"/>
      <c r="E4" s="204"/>
      <c r="F4" s="205"/>
      <c r="G4" s="205"/>
      <c r="H4" s="205"/>
      <c r="I4" s="205"/>
      <c r="J4" s="205"/>
      <c r="K4" s="205"/>
      <c r="L4" s="205"/>
      <c r="M4" s="205"/>
      <c r="N4" s="205"/>
      <c r="O4" s="205"/>
      <c r="P4" s="205"/>
      <c r="Q4" s="205"/>
      <c r="R4" s="205"/>
      <c r="S4" s="205"/>
      <c r="T4" s="205"/>
      <c r="U4" s="205"/>
      <c r="V4" s="205"/>
      <c r="W4" s="205"/>
      <c r="X4" s="206"/>
    </row>
    <row r="5" spans="1:27"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7" ht="16.2" customHeight="1" thickTop="1" x14ac:dyDescent="0.3">
      <c r="E6" s="361" t="str">
        <f>REP.title1</f>
        <v>STEAM FINAL TREND REPORT FOR 2011-2022</v>
      </c>
      <c r="F6" s="381"/>
      <c r="G6" s="381"/>
      <c r="H6" s="381"/>
      <c r="I6" s="381"/>
      <c r="J6" s="381"/>
      <c r="K6" s="381"/>
      <c r="L6" s="381"/>
      <c r="M6" s="381"/>
      <c r="N6" s="381"/>
      <c r="O6" s="382"/>
      <c r="P6" s="858" t="str">
        <f>"Comparing "&amp;FOCUSYEAR&amp;" and "&amp;COMPARISONYEAR</f>
        <v>Comparing 2022 and 2021</v>
      </c>
      <c r="Q6" s="859"/>
      <c r="R6" s="860"/>
      <c r="S6" s="837" t="str">
        <f ca="1">$A$1</f>
        <v>COMPARATIVE HEADLINES</v>
      </c>
      <c r="T6" s="838"/>
      <c r="U6" s="838"/>
      <c r="V6" s="838"/>
      <c r="W6" s="838"/>
      <c r="X6" s="839"/>
    </row>
    <row r="7" spans="1:27" ht="16.2" customHeight="1" thickBot="1" x14ac:dyDescent="0.35">
      <c r="E7" s="362" t="str">
        <f>REP.title2</f>
        <v>NORTH WALES</v>
      </c>
      <c r="F7" s="363"/>
      <c r="G7" s="363"/>
      <c r="H7" s="363"/>
      <c r="I7" s="364"/>
      <c r="J7" s="364"/>
      <c r="K7" s="364"/>
      <c r="L7" s="364"/>
      <c r="M7" s="364"/>
      <c r="N7" s="364"/>
      <c r="O7" s="383"/>
      <c r="P7" s="861" t="str">
        <f>IF(REP.indexed="YES",COMPARISONYEAR&amp;" in "&amp;FOCUSYEAR&amp;" prices ("&amp;ROUND(VALUE(INDEX(GTS_SHEET!$F$19:$F$30,GTS_SHEET!J33)),3)&amp;")","All £'s Historic Prices")</f>
        <v>All £'s Historic Prices</v>
      </c>
      <c r="Q7" s="862"/>
      <c r="R7" s="863"/>
      <c r="S7" s="840"/>
      <c r="T7" s="841"/>
      <c r="U7" s="841"/>
      <c r="V7" s="841"/>
      <c r="W7" s="841"/>
      <c r="X7" s="842"/>
    </row>
    <row r="8" spans="1:27" ht="16.2" customHeight="1" thickTop="1" thickBot="1" x14ac:dyDescent="0.35">
      <c r="E8" s="855" t="str">
        <f>"KEY PERFORMANCE INDICATORS BY TYPE OF VISITOR - COMPARING "&amp;FOCUSYEAR&amp;" &amp; "&amp;COMPARISONYEAR&amp;IF(REP.indexed="YES"," - INDEXED TO "&amp;FOCUSYEAR," - IN HISTORIC PRICES")</f>
        <v>KEY PERFORMANCE INDICATORS BY TYPE OF VISITOR - COMPARING 2022 &amp; 2021 - IN HISTORIC PRICES</v>
      </c>
      <c r="F8" s="856"/>
      <c r="G8" s="856"/>
      <c r="H8" s="856"/>
      <c r="I8" s="856"/>
      <c r="J8" s="856"/>
      <c r="K8" s="856"/>
      <c r="L8" s="856"/>
      <c r="M8" s="856"/>
      <c r="N8" s="856"/>
      <c r="O8" s="856"/>
      <c r="P8" s="856"/>
      <c r="Q8" s="856"/>
      <c r="R8" s="856"/>
      <c r="S8" s="856"/>
      <c r="T8" s="856"/>
      <c r="U8" s="856"/>
      <c r="V8" s="856"/>
      <c r="W8" s="856"/>
      <c r="X8" s="857"/>
      <c r="AA8" s="111">
        <f>COMPARISONYEAR</f>
        <v>2021</v>
      </c>
    </row>
    <row r="9" spans="1:27" s="125" customFormat="1" ht="16.2" customHeight="1" thickTop="1" thickBot="1" x14ac:dyDescent="0.35">
      <c r="E9" s="864" t="s">
        <v>90</v>
      </c>
      <c r="F9" s="865"/>
      <c r="G9" s="279"/>
      <c r="H9" s="280"/>
      <c r="I9" s="280"/>
      <c r="J9" s="280"/>
      <c r="K9" s="280"/>
      <c r="L9" s="280"/>
      <c r="M9" s="280"/>
      <c r="N9" s="280"/>
      <c r="O9" s="280"/>
      <c r="P9" s="866" t="s">
        <v>95</v>
      </c>
      <c r="Q9" s="866"/>
      <c r="R9" s="867"/>
      <c r="S9" s="870" t="s">
        <v>97</v>
      </c>
      <c r="T9" s="871"/>
      <c r="U9" s="872"/>
      <c r="V9" s="901" t="s">
        <v>96</v>
      </c>
      <c r="W9" s="902"/>
      <c r="X9" s="903"/>
    </row>
    <row r="10" spans="1:27" s="125" customFormat="1" ht="16.2" customHeight="1" thickTop="1" thickBot="1" x14ac:dyDescent="0.35">
      <c r="E10" s="907" t="str">
        <f>REP.highlightup</f>
        <v>An increase of 3% or more</v>
      </c>
      <c r="F10" s="908"/>
      <c r="G10" s="909" t="s">
        <v>112</v>
      </c>
      <c r="H10" s="910"/>
      <c r="I10" s="910"/>
      <c r="J10" s="910"/>
      <c r="K10" s="910"/>
      <c r="L10" s="911"/>
      <c r="M10" s="912" t="s">
        <v>139</v>
      </c>
      <c r="N10" s="913"/>
      <c r="O10" s="914"/>
      <c r="P10" s="866"/>
      <c r="Q10" s="866"/>
      <c r="R10" s="867"/>
      <c r="S10" s="870"/>
      <c r="T10" s="871"/>
      <c r="U10" s="872"/>
      <c r="V10" s="901"/>
      <c r="W10" s="902"/>
      <c r="X10" s="903"/>
    </row>
    <row r="11" spans="1:27" s="125" customFormat="1" ht="16.2" customHeight="1" thickTop="1" thickBot="1" x14ac:dyDescent="0.35">
      <c r="E11" s="918" t="str">
        <f>REP.highlightsame</f>
        <v>Less than 3% change</v>
      </c>
      <c r="F11" s="919"/>
      <c r="G11" s="920" t="s">
        <v>110</v>
      </c>
      <c r="H11" s="921"/>
      <c r="I11" s="922"/>
      <c r="J11" s="923" t="s">
        <v>111</v>
      </c>
      <c r="K11" s="924"/>
      <c r="L11" s="924"/>
      <c r="M11" s="915"/>
      <c r="N11" s="916"/>
      <c r="O11" s="917"/>
      <c r="P11" s="868"/>
      <c r="Q11" s="868"/>
      <c r="R11" s="869"/>
      <c r="S11" s="873"/>
      <c r="T11" s="874"/>
      <c r="U11" s="875"/>
      <c r="V11" s="904"/>
      <c r="W11" s="905"/>
      <c r="X11" s="906"/>
    </row>
    <row r="12" spans="1:27" ht="16.2" customHeight="1" thickTop="1" thickBot="1" x14ac:dyDescent="0.35">
      <c r="E12" s="899" t="str">
        <f>REP.highlightdown</f>
        <v>A Fall of 3% or more</v>
      </c>
      <c r="F12" s="900"/>
      <c r="G12" s="281">
        <f>FOCUSYEAR</f>
        <v>2022</v>
      </c>
      <c r="H12" s="282">
        <f>COMPARISONYEAR</f>
        <v>2021</v>
      </c>
      <c r="I12" s="283" t="s">
        <v>113</v>
      </c>
      <c r="J12" s="281">
        <f>FOCUSYEAR</f>
        <v>2022</v>
      </c>
      <c r="K12" s="282">
        <f>COMPARISONYEAR</f>
        <v>2021</v>
      </c>
      <c r="L12" s="283" t="s">
        <v>113</v>
      </c>
      <c r="M12" s="281">
        <f>FOCUSYEAR</f>
        <v>2022</v>
      </c>
      <c r="N12" s="282">
        <f>COMPARISONYEAR</f>
        <v>2021</v>
      </c>
      <c r="O12" s="283" t="s">
        <v>113</v>
      </c>
      <c r="P12" s="281">
        <f>FOCUSYEAR</f>
        <v>2022</v>
      </c>
      <c r="Q12" s="282">
        <f>COMPARISONYEAR</f>
        <v>2021</v>
      </c>
      <c r="R12" s="283" t="s">
        <v>113</v>
      </c>
      <c r="S12" s="281">
        <f>FOCUSYEAR</f>
        <v>2022</v>
      </c>
      <c r="T12" s="282">
        <f>COMPARISONYEAR</f>
        <v>2021</v>
      </c>
      <c r="U12" s="283" t="s">
        <v>113</v>
      </c>
      <c r="V12" s="281">
        <f>FOCUSYEAR</f>
        <v>2022</v>
      </c>
      <c r="W12" s="282">
        <f>COMPARISONYEAR</f>
        <v>2021</v>
      </c>
      <c r="X12" s="283" t="s">
        <v>113</v>
      </c>
    </row>
    <row r="13" spans="1:27" ht="16.2" customHeight="1" thickTop="1" thickBot="1" x14ac:dyDescent="0.35">
      <c r="E13" s="284" t="s">
        <v>171</v>
      </c>
      <c r="F13" s="194" t="str">
        <f>$C$4</f>
        <v>M</v>
      </c>
      <c r="G13" s="655">
        <f>IFERROR(INDEX(DATA!$T:$T,MATCH(FOCUSYEAR&amp;"."&amp;$E13&amp;"."&amp;G$68,REP.lookup,0))/$B$2,"")</f>
        <v>4.9109867494059483</v>
      </c>
      <c r="H13" s="656">
        <f>IFERROR(INDEX(DATA!$T:$T,MATCH(COMPARISONYEAR&amp;"."&amp;$E13&amp;"."&amp;H$68,REP.lookup,0))/$B$2,"")</f>
        <v>3.2414521638906786</v>
      </c>
      <c r="I13" s="195">
        <f>IFERROR(G13/H13-1,"")</f>
        <v>0.51505760415459778</v>
      </c>
      <c r="J13" s="655">
        <f>IFERROR(INDEX(DATA!$T:$T,MATCH(FOCUSYEAR&amp;"."&amp;$E13&amp;"."&amp;J$68,REP.lookup,0))/$B$2,"")</f>
        <v>42.370575400739632</v>
      </c>
      <c r="K13" s="656">
        <f>IFERROR(INDEX(DATA!$T:$T,MATCH(COMPARISONYEAR&amp;"."&amp;$E13&amp;"."&amp;K$68,REP.lookup,0))/$B$2,"")</f>
        <v>32.057904637722864</v>
      </c>
      <c r="L13" s="195">
        <f>IFERROR(J13/K13-1,"")</f>
        <v>0.32168885894313082</v>
      </c>
      <c r="M13" s="655">
        <f>IFERROR(INDEX(DATA!$T:$T,MATCH(FOCUSYEAR&amp;"."&amp;$E13&amp;"."&amp;M$68,REP.lookup,0))/$B$2,"")</f>
        <v>2.526386263758182</v>
      </c>
      <c r="N13" s="656">
        <f>IFERROR(INDEX(DATA!$T:$T,MATCH(COMPARISONYEAR&amp;"."&amp;$E13&amp;"."&amp;N$68,REP.lookup,0))/$B$2,"")</f>
        <v>0.67066078798136364</v>
      </c>
      <c r="O13" s="195">
        <f>IFERROR(M13/N13-1,"")</f>
        <v>2.7670105499419555</v>
      </c>
      <c r="P13" s="655">
        <f>IFERROR(INDEX(DATA!$T:$T,MATCH(FOCUSYEAR&amp;"."&amp;$E13&amp;"."&amp;"Staying Visitor",REP.lookup,0))/$B$2,"")</f>
        <v>49.807948413903766</v>
      </c>
      <c r="Q13" s="656">
        <f>IFERROR(INDEX(DATA!$T:$T,MATCH(COMPARISONYEAR&amp;"."&amp;$E13&amp;"."&amp;"Staying Visitor",REP.lookup,0))/$B$2,"")</f>
        <v>35.97001758959491</v>
      </c>
      <c r="R13" s="195">
        <f>IFERROR(P13/Q13-1,"")</f>
        <v>0.38470736884798673</v>
      </c>
      <c r="S13" s="655">
        <f>IFERROR(INDEX(DATA!$T:$T,MATCH(FOCUSYEAR&amp;"."&amp;$E13&amp;"."&amp;S$68,REP.lookup,0))/$B$2,"")</f>
        <v>20.170275896438142</v>
      </c>
      <c r="T13" s="656">
        <f>IFERROR(INDEX(DATA!$T:$T,MATCH(COMPARISONYEAR&amp;"."&amp;$E13&amp;"."&amp;T$68,REP.lookup,0))/$B$2,"")</f>
        <v>16.915242931008446</v>
      </c>
      <c r="U13" s="195">
        <f>IFERROR(S13/T13-1,"")</f>
        <v>0.19243193720042173</v>
      </c>
      <c r="V13" s="655">
        <f>IFERROR(INDEX(DATA!$T:$T,MATCH(FOCUSYEAR&amp;"."&amp;$E13&amp;"."&amp;V$68,REP.lookup,0))/$B$2,"")</f>
        <v>69.978224310341901</v>
      </c>
      <c r="W13" s="656">
        <f>IFERROR(INDEX(DATA!$T:$T,MATCH(COMPARISONYEAR&amp;"."&amp;$E13&amp;"."&amp;W$68,REP.lookup,0))/$B$2,"")</f>
        <v>52.885260520603339</v>
      </c>
      <c r="X13" s="195">
        <f>IFERROR(V13/W13-1,"")</f>
        <v>0.32320846340691456</v>
      </c>
    </row>
    <row r="14" spans="1:27" ht="16.2" customHeight="1" thickTop="1" thickBot="1" x14ac:dyDescent="0.35">
      <c r="E14" s="285" t="s">
        <v>172</v>
      </c>
      <c r="F14" s="194" t="str">
        <f>$B$4</f>
        <v>M</v>
      </c>
      <c r="G14" s="655">
        <f>IFERROR(INDEX(DATA!$T:$T,MATCH(FOCUSYEAR&amp;"."&amp;$E14&amp;"."&amp;G$68,REP.lookup,0))/$B$2,"")</f>
        <v>2.7688969327062392</v>
      </c>
      <c r="H14" s="656">
        <f>IFERROR(INDEX(DATA!$T:$T,MATCH(COMPARISONYEAR&amp;"."&amp;$E14&amp;"."&amp;H$68,REP.lookup,0))/$B$2,"")</f>
        <v>1.8296358664689922</v>
      </c>
      <c r="I14" s="195">
        <f>IFERROR(G14/H14-1,"")</f>
        <v>0.51335956156670859</v>
      </c>
      <c r="J14" s="655">
        <f>IFERROR(INDEX(DATA!$T:$T,MATCH(FOCUSYEAR&amp;"."&amp;$E14&amp;"."&amp;J$68,REP.lookup,0))/$B$2,"")</f>
        <v>6.9640393360634798</v>
      </c>
      <c r="K14" s="656">
        <f>IFERROR(INDEX(DATA!$T:$T,MATCH(COMPARISONYEAR&amp;"."&amp;$E14&amp;"."&amp;K$68,REP.lookup,0))/$B$2,"")</f>
        <v>4.9299016461417748</v>
      </c>
      <c r="L14" s="195">
        <f>IFERROR(J14/K14-1,"")</f>
        <v>0.41261222554280685</v>
      </c>
      <c r="M14" s="655">
        <f>IFERROR(INDEX(DATA!$T:$T,MATCH(FOCUSYEAR&amp;"."&amp;$E14&amp;"."&amp;M$68,REP.lookup,0))/$B$2,"")</f>
        <v>1.0611916292727275</v>
      </c>
      <c r="N14" s="656">
        <f>IFERROR(INDEX(DATA!$T:$T,MATCH(COMPARISONYEAR&amp;"."&amp;$E14&amp;"."&amp;N$68,REP.lookup,0))/$B$2,"")</f>
        <v>0.2804044539363636</v>
      </c>
      <c r="O14" s="195">
        <f>IFERROR(M14/N14-1,"")</f>
        <v>2.78450347123787</v>
      </c>
      <c r="P14" s="655">
        <f>IFERROR(INDEX(DATA!$T:$T,MATCH(FOCUSYEAR&amp;"."&amp;$E14&amp;"."&amp;"Staying Visitor",REP.lookup,0))/$B$2,"")</f>
        <v>10.794127898042447</v>
      </c>
      <c r="Q14" s="656">
        <f>IFERROR(INDEX(DATA!$T:$T,MATCH(COMPARISONYEAR&amp;"."&amp;$E14&amp;"."&amp;"Staying Visitor",REP.lookup,0))/$B$2,"")</f>
        <v>7.039941966547131</v>
      </c>
      <c r="R14" s="195">
        <f>IFERROR(P14/Q14-1,"")</f>
        <v>0.53326944303443247</v>
      </c>
      <c r="S14" s="655">
        <f>IFERROR(INDEX(DATA!$T:$T,MATCH(FOCUSYEAR&amp;"."&amp;$E14&amp;"."&amp;S$68,REP.lookup,0))/$B$2,"")</f>
        <v>20.170275896438142</v>
      </c>
      <c r="T14" s="656">
        <f>IFERROR(INDEX(DATA!$T:$T,MATCH(COMPARISONYEAR&amp;"."&amp;$E14&amp;"."&amp;T$68,REP.lookup,0))/$B$2,"")</f>
        <v>16.915242931008446</v>
      </c>
      <c r="U14" s="195">
        <f>IFERROR(S14/T14-1,"")</f>
        <v>0.19243193720042173</v>
      </c>
      <c r="V14" s="655">
        <f>IFERROR(INDEX(DATA!$T:$T,MATCH(FOCUSYEAR&amp;"."&amp;$E14&amp;"."&amp;V$68,REP.lookup,0))/$B$2,"")</f>
        <v>30.964403794480585</v>
      </c>
      <c r="W14" s="656">
        <f>IFERROR(INDEX(DATA!$T:$T,MATCH(COMPARISONYEAR&amp;"."&amp;$E14&amp;"."&amp;W$68,REP.lookup,0))/$B$2,"")</f>
        <v>23.955184897555572</v>
      </c>
      <c r="X14" s="195">
        <f>IFERROR(V14/W14-1,"")</f>
        <v>0.29259715284603161</v>
      </c>
    </row>
    <row r="15" spans="1:27" ht="16.2" customHeight="1" thickTop="1" thickBot="1" x14ac:dyDescent="0.35">
      <c r="E15" s="286" t="s">
        <v>44</v>
      </c>
      <c r="F15" s="194" t="str">
        <f>$A$4</f>
        <v>£Bn</v>
      </c>
      <c r="G15" s="287"/>
      <c r="H15" s="288"/>
      <c r="I15" s="289"/>
      <c r="J15" s="287"/>
      <c r="K15" s="288"/>
      <c r="L15" s="289"/>
      <c r="M15" s="287"/>
      <c r="N15" s="288"/>
      <c r="O15" s="289"/>
      <c r="P15" s="288"/>
      <c r="Q15" s="288"/>
      <c r="R15" s="289"/>
      <c r="S15" s="288"/>
      <c r="T15" s="288"/>
      <c r="U15" s="290"/>
      <c r="V15" s="655">
        <f>IFERROR(INDEX(DATA!$T:$T,MATCH(FOCUSYEAR&amp;".Economic Impact."&amp;$E15,REP.lookup,0))/$A$2,"")</f>
        <v>3.0874054311749961</v>
      </c>
      <c r="W15" s="656">
        <f>IFERROR(INDEX(DATA!$T:$T,MATCH(COMPARISONYEAR&amp;".Economic Impact."&amp;$E15,REP.lookup,0))*INDEX(REP.indexationtoFOCUSYEAR,MATCH(VALUE(COMPARISONYEAR),REP.yearsrange))/$A$2,"")</f>
        <v>2.2063456672128123</v>
      </c>
      <c r="X15" s="195">
        <f t="shared" ref="X15:X18" si="0">IFERROR(V15/W15-1,"")</f>
        <v>0.39932988608951336</v>
      </c>
    </row>
    <row r="16" spans="1:27" ht="16.2" customHeight="1" thickTop="1" thickBot="1" x14ac:dyDescent="0.35">
      <c r="E16" s="221" t="s">
        <v>17</v>
      </c>
      <c r="F16" s="194" t="str">
        <f>$A$4</f>
        <v>£Bn</v>
      </c>
      <c r="G16" s="655">
        <f>IFERROR(INDEX(DATA!$T:$T,MATCH(FOCUSYEAR&amp;"."&amp;$E16&amp;"."&amp;G$68,REP.lookup,0))/$A$2,"")</f>
        <v>0.62500461291611187</v>
      </c>
      <c r="H16" s="656">
        <f>IFERROR(INDEX(DATA!$T:$T,MATCH(COMPARISONYEAR&amp;"."&amp;$E16&amp;"."&amp;H$68,REP.lookup,0))*INDEX(REP.indexationtoFOCUSYEAR,MATCH(VALUE(COMPARISONYEAR),REP.yearsrange))/$A$2,"")</f>
        <v>0.41400686464693848</v>
      </c>
      <c r="I16" s="195">
        <f>IFERROR(G16/H16-1,"")</f>
        <v>0.50964794617381637</v>
      </c>
      <c r="J16" s="655">
        <f>IFERROR(INDEX(DATA!$T:$T,MATCH(FOCUSYEAR&amp;"."&amp;$E16&amp;"."&amp;J$68,REP.lookup,0))/$A$2,"")</f>
        <v>2.4147398798773532</v>
      </c>
      <c r="K16" s="656">
        <f>IFERROR(INDEX(DATA!$T:$T,MATCH(COMPARISONYEAR&amp;"."&amp;$E16&amp;"."&amp;K$68,REP.lookup,0))*INDEX(REP.indexationtoFOCUSYEAR,MATCH(VALUE(COMPARISONYEAR),REP.yearsrange))/$A$2,"")</f>
        <v>1.8528442899420401</v>
      </c>
      <c r="L16" s="195">
        <f>IFERROR(J16/K16-1,"")</f>
        <v>0.30326109591912331</v>
      </c>
      <c r="M16" s="655">
        <f>IFERROR(INDEX(DATA!$T:$T,MATCH(FOCUSYEAR&amp;"."&amp;$E16&amp;"."&amp;M$68,REP.lookup,0))/$A$2,"")</f>
        <v>0.11813966288884974</v>
      </c>
      <c r="N16" s="656">
        <f>IFERROR(INDEX(DATA!$T:$T,MATCH(COMPARISONYEAR&amp;"."&amp;$E16&amp;"."&amp;N$68,REP.lookup,0))*INDEX(REP.indexationtoFOCUSYEAR,MATCH(VALUE(COMPARISONYEAR),REP.yearsrange))/$A$2,"")</f>
        <v>2.9014601203732088E-2</v>
      </c>
      <c r="O16" s="195">
        <f>IFERROR(M16/N16-1,"")</f>
        <v>3.0717314037614161</v>
      </c>
      <c r="P16" s="655">
        <f>IFERROR(INDEX(DATA!$T:$T,MATCH(FOCUSYEAR&amp;"."&amp;$E16&amp;"."&amp;"Staying Visitor",REP.lookup,0))/$A$2,"")</f>
        <v>3.1578841556823147</v>
      </c>
      <c r="Q16" s="656">
        <f>IFERROR(INDEX(DATA!$T:$T,MATCH(COMPARISONYEAR&amp;"."&amp;$E16&amp;"."&amp;"Staying Visitor",REP.lookup,0))*INDEX(REP.indexationtoFOCUSYEAR,MATCH(VALUE(COMPARISONYEAR),REP.yearsrange))/$A$2,"")</f>
        <v>2.2958657557927111</v>
      </c>
      <c r="R16" s="195">
        <f>IFERROR(P16/Q16-1,"")</f>
        <v>0.37546550695076153</v>
      </c>
      <c r="S16" s="655">
        <f>IFERROR(INDEX(DATA!$T:$T,MATCH(FOCUSYEAR&amp;"."&amp;$E16&amp;"."&amp;S$68,REP.lookup,0))/$A$2,"")</f>
        <v>1.0002496053959069</v>
      </c>
      <c r="T16" s="656">
        <f>IFERROR(INDEX(DATA!$T:$T,MATCH(COMPARISONYEAR&amp;"."&amp;$E16&amp;"."&amp;T$68,REP.lookup,0))*INDEX(REP.indexationtoFOCUSYEAR,MATCH(VALUE(COMPARISONYEAR),REP.yearsrange))/$A$2,"")</f>
        <v>0.68679910656280163</v>
      </c>
      <c r="U16" s="195">
        <f>IFERROR(S16/T16-1,"")</f>
        <v>0.45639328274874957</v>
      </c>
      <c r="V16" s="655">
        <f>IFERROR(INDEX(DATA!$T:$T,MATCH(FOCUSYEAR&amp;"."&amp;$E16&amp;"."&amp;V$68,REP.lookup,0))/$A$2,"")</f>
        <v>4.1581337610782212</v>
      </c>
      <c r="W16" s="656">
        <f>IFERROR(INDEX(DATA!$T:$T,MATCH(COMPARISONYEAR&amp;"."&amp;$E16&amp;"."&amp;W$68,REP.lookup,0))*INDEX(REP.indexationtoFOCUSYEAR,MATCH(VALUE(COMPARISONYEAR),REP.yearsrange))/$A$2,"")</f>
        <v>2.9826648623555125</v>
      </c>
      <c r="X16" s="195">
        <f>IFERROR(V16/W16-1,"")</f>
        <v>0.39410022680000356</v>
      </c>
    </row>
    <row r="17" spans="5:24" ht="16.2" customHeight="1" thickTop="1" thickBot="1" x14ac:dyDescent="0.35">
      <c r="E17" s="294" t="s">
        <v>55</v>
      </c>
      <c r="F17" s="194" t="s">
        <v>59</v>
      </c>
      <c r="G17" s="292">
        <f>IFERROR(INDEX(DATA!$T:$T,MATCH(FOCUSYEAR&amp;".Employment."&amp;G$68,REP.lookup,0)),"")</f>
        <v>7121.6929929497937</v>
      </c>
      <c r="H17" s="293">
        <f>IFERROR(INDEX(DATA!$T:$T,MATCH(COMPARISONYEAR&amp;".Employment."&amp;H$68,REP.lookup,0)),"")</f>
        <v>4791.9936369618226</v>
      </c>
      <c r="I17" s="195">
        <f>IFERROR(G17/H17-1,"")</f>
        <v>0.48616495189359776</v>
      </c>
      <c r="J17" s="292">
        <f>IFERROR(INDEX(DATA!$T:$T,MATCH(FOCUSYEAR&amp;".Employment."&amp;J$68,REP.lookup,0)),"")</f>
        <v>20380.186823764878</v>
      </c>
      <c r="K17" s="293">
        <f>IFERROR(INDEX(DATA!$T:$T,MATCH(COMPARISONYEAR&amp;".Employment."&amp;K$68,REP.lookup,0)),"")</f>
        <v>17021.686594679326</v>
      </c>
      <c r="L17" s="195">
        <f>IFERROR(J17/K17-1,"")</f>
        <v>0.1973071358354912</v>
      </c>
      <c r="M17" s="292">
        <f>IFERROR(INDEX(DATA!$T:$T,MATCH(FOCUSYEAR&amp;".Employment."&amp;M$68,REP.lookup,0)),"")</f>
        <v>968.01424328614519</v>
      </c>
      <c r="N17" s="293">
        <f>IFERROR(INDEX(DATA!$T:$T,MATCH(COMPARISONYEAR&amp;".Employment."&amp;N$68,REP.lookup,0)),"")</f>
        <v>271.36974804880845</v>
      </c>
      <c r="O17" s="195">
        <f>IFERROR(M17/N17-1,"")</f>
        <v>2.5671413274556993</v>
      </c>
      <c r="P17" s="292">
        <f>IFERROR(INDEX(DATA!$T:$T,MATCH(FOCUSYEAR&amp;".Employment."&amp;"Staying Visitor",REP.lookup,0)),"")</f>
        <v>28469.894060000817</v>
      </c>
      <c r="Q17" s="293">
        <f>IFERROR(INDEX(DATA!$T:$T,MATCH(COMPARISONYEAR&amp;".Employment."&amp;"Staying Visitor",REP.lookup,0)),"")</f>
        <v>22085.049979689957</v>
      </c>
      <c r="R17" s="195">
        <f>IFERROR(P17/Q17-1,"")</f>
        <v>0.28910254159182558</v>
      </c>
      <c r="S17" s="292">
        <f>IFERROR(INDEX(DATA!$T:$T,MATCH(FOCUSYEAR&amp;".Employment."&amp;S$68,REP.lookup,0)),"")</f>
        <v>7595.3369263972563</v>
      </c>
      <c r="T17" s="293">
        <f>IFERROR(INDEX(DATA!$T:$T,MATCH(COMPARISONYEAR&amp;".Employment."&amp;T$68,REP.lookup,0)),"")</f>
        <v>5864.4397745555534</v>
      </c>
      <c r="U17" s="195">
        <f>IFERROR(S17/T17-1,"")</f>
        <v>0.29515132193047067</v>
      </c>
      <c r="V17" s="292">
        <f>SUM(P17,S17)</f>
        <v>36065.230986398077</v>
      </c>
      <c r="W17" s="293">
        <f>SUM(Q17,T17)</f>
        <v>27949.489754245511</v>
      </c>
      <c r="X17" s="195">
        <f>IFERROR(V17/W17-1,"")</f>
        <v>0.29037171352724922</v>
      </c>
    </row>
    <row r="18" spans="5:24" ht="16.2" customHeight="1" thickTop="1" thickBot="1" x14ac:dyDescent="0.35">
      <c r="E18" s="291" t="s">
        <v>74</v>
      </c>
      <c r="F18" s="194" t="s">
        <v>59</v>
      </c>
      <c r="G18" s="287"/>
      <c r="H18" s="288"/>
      <c r="I18" s="289"/>
      <c r="J18" s="288"/>
      <c r="K18" s="288"/>
      <c r="L18" s="289"/>
      <c r="M18" s="288"/>
      <c r="N18" s="288"/>
      <c r="O18" s="289"/>
      <c r="P18" s="288"/>
      <c r="Q18" s="288"/>
      <c r="R18" s="289"/>
      <c r="S18" s="288"/>
      <c r="T18" s="288"/>
      <c r="U18" s="290"/>
      <c r="V18" s="292">
        <f>IFERROR(INDEX(DATA!$T:$T,MATCH(FOCUSYEAR&amp;".Employment."&amp;V$68,REP.lookup,0)),"")</f>
        <v>45200.777334984399</v>
      </c>
      <c r="W18" s="293">
        <f>IFERROR(INDEX(DATA!$T:$T,MATCH(COMPARISONYEAR&amp;".Employment."&amp;W$68,REP.lookup,0)),"")</f>
        <v>35497.521450317676</v>
      </c>
      <c r="X18" s="195">
        <f t="shared" si="0"/>
        <v>0.27335023652982082</v>
      </c>
    </row>
    <row r="19" spans="5:24" ht="16.2" customHeight="1" thickTop="1" thickBot="1" x14ac:dyDescent="0.35">
      <c r="E19" s="855" t="str">
        <f>"PERCENTAGE CHANGE BY VISITOR TYPE AND PERFORMANCE MEASURE - COMPARING "&amp;FOCUSYEAR&amp;" &amp; "&amp;COMPARISONYEAR&amp;IF(REP.indexed="YES"," - INDEXED TO "&amp;FOCUSYEAR," - IN HISTORIC PRICES")</f>
        <v>PERCENTAGE CHANGE BY VISITOR TYPE AND PERFORMANCE MEASURE - COMPARING 2022 &amp; 2021 - IN HISTORIC PRICES</v>
      </c>
      <c r="F19" s="856"/>
      <c r="G19" s="856"/>
      <c r="H19" s="856"/>
      <c r="I19" s="856"/>
      <c r="J19" s="856"/>
      <c r="K19" s="856"/>
      <c r="L19" s="856"/>
      <c r="M19" s="856"/>
      <c r="N19" s="856"/>
      <c r="O19" s="856"/>
      <c r="P19" s="856"/>
      <c r="Q19" s="856"/>
      <c r="R19" s="856"/>
      <c r="S19" s="856"/>
      <c r="T19" s="856"/>
      <c r="U19" s="856"/>
      <c r="V19" s="856"/>
      <c r="W19" s="856"/>
      <c r="X19" s="857"/>
    </row>
    <row r="20" spans="5:24" ht="16.2" customHeight="1" thickTop="1" thickBot="1" x14ac:dyDescent="0.35">
      <c r="E20" s="864" t="s">
        <v>90</v>
      </c>
      <c r="F20" s="865"/>
      <c r="G20" s="885" t="s">
        <v>110</v>
      </c>
      <c r="H20" s="885"/>
      <c r="I20" s="885"/>
      <c r="J20" s="886" t="s">
        <v>111</v>
      </c>
      <c r="K20" s="886"/>
      <c r="L20" s="886"/>
      <c r="M20" s="887" t="s">
        <v>18</v>
      </c>
      <c r="N20" s="887"/>
      <c r="O20" s="887"/>
      <c r="P20" s="888" t="s">
        <v>95</v>
      </c>
      <c r="Q20" s="888"/>
      <c r="R20" s="888"/>
      <c r="S20" s="889" t="s">
        <v>97</v>
      </c>
      <c r="T20" s="889"/>
      <c r="U20" s="889"/>
      <c r="V20" s="890" t="s">
        <v>96</v>
      </c>
      <c r="W20" s="890"/>
      <c r="X20" s="890"/>
    </row>
    <row r="21" spans="5:24" ht="24" customHeight="1" thickTop="1" thickBot="1" x14ac:dyDescent="0.35">
      <c r="E21" s="891" t="s">
        <v>171</v>
      </c>
      <c r="F21" s="892"/>
      <c r="G21" s="295"/>
      <c r="H21" s="296"/>
      <c r="I21" s="297"/>
      <c r="J21" s="295"/>
      <c r="K21" s="296"/>
      <c r="L21" s="297"/>
      <c r="M21" s="295"/>
      <c r="N21" s="296"/>
      <c r="O21" s="297"/>
      <c r="P21" s="295"/>
      <c r="Q21" s="296"/>
      <c r="R21" s="296"/>
      <c r="S21" s="295"/>
      <c r="T21" s="296"/>
      <c r="U21" s="297"/>
      <c r="V21" s="296"/>
      <c r="W21" s="296"/>
      <c r="X21" s="297"/>
    </row>
    <row r="22" spans="5:24" ht="24" customHeight="1" thickTop="1" thickBot="1" x14ac:dyDescent="0.35">
      <c r="E22" s="893" t="s">
        <v>172</v>
      </c>
      <c r="F22" s="894"/>
      <c r="G22" s="298"/>
      <c r="H22" s="182"/>
      <c r="I22" s="299"/>
      <c r="J22" s="298"/>
      <c r="K22" s="182"/>
      <c r="L22" s="299"/>
      <c r="M22" s="298"/>
      <c r="N22" s="182"/>
      <c r="O22" s="299"/>
      <c r="P22" s="298"/>
      <c r="Q22" s="182"/>
      <c r="R22" s="182"/>
      <c r="S22" s="298"/>
      <c r="T22" s="182"/>
      <c r="U22" s="299"/>
      <c r="V22" s="182"/>
      <c r="W22" s="182"/>
      <c r="X22" s="299"/>
    </row>
    <row r="23" spans="5:24" ht="24" customHeight="1" thickTop="1" thickBot="1" x14ac:dyDescent="0.35">
      <c r="E23" s="895" t="s">
        <v>75</v>
      </c>
      <c r="F23" s="896"/>
      <c r="G23" s="298"/>
      <c r="H23" s="182"/>
      <c r="I23" s="299"/>
      <c r="J23" s="298"/>
      <c r="K23" s="182"/>
      <c r="L23" s="299"/>
      <c r="M23" s="298"/>
      <c r="N23" s="182"/>
      <c r="O23" s="299"/>
      <c r="P23" s="298"/>
      <c r="Q23" s="182"/>
      <c r="R23" s="182"/>
      <c r="S23" s="298"/>
      <c r="T23" s="182"/>
      <c r="U23" s="299"/>
      <c r="V23" s="182"/>
      <c r="W23" s="182"/>
      <c r="X23" s="299"/>
    </row>
    <row r="24" spans="5:24" ht="24" customHeight="1" thickTop="1" thickBot="1" x14ac:dyDescent="0.35">
      <c r="E24" s="897" t="s">
        <v>55</v>
      </c>
      <c r="F24" s="898"/>
      <c r="G24" s="300"/>
      <c r="H24" s="183"/>
      <c r="I24" s="301"/>
      <c r="J24" s="300"/>
      <c r="K24" s="183"/>
      <c r="L24" s="301"/>
      <c r="M24" s="300"/>
      <c r="N24" s="183"/>
      <c r="O24" s="301"/>
      <c r="P24" s="300"/>
      <c r="Q24" s="183"/>
      <c r="R24" s="183"/>
      <c r="S24" s="300"/>
      <c r="T24" s="183"/>
      <c r="U24" s="301"/>
      <c r="V24" s="183"/>
      <c r="W24" s="183"/>
      <c r="X24" s="301"/>
    </row>
    <row r="25" spans="5:24" ht="16.2" customHeight="1" thickTop="1" thickBot="1" x14ac:dyDescent="0.35">
      <c r="E25" s="876" t="str">
        <f>"Sectoral Distribution of Economic Impact - "&amp;$F$16&amp;" including VAT "&amp;IF(REP.indexed="YES","Indexed to "&amp;FOCUSYEAR,"in Historic Prices ")</f>
        <v xml:space="preserve">Sectoral Distribution of Economic Impact - £Bn including VAT in Historic Prices </v>
      </c>
      <c r="F25" s="877"/>
      <c r="G25" s="877"/>
      <c r="H25" s="877"/>
      <c r="I25" s="877"/>
      <c r="J25" s="877"/>
      <c r="K25" s="877"/>
      <c r="L25" s="878"/>
      <c r="M25" s="879" t="s">
        <v>114</v>
      </c>
      <c r="N25" s="879"/>
      <c r="O25" s="879"/>
      <c r="P25" s="882" t="s">
        <v>138</v>
      </c>
      <c r="Q25" s="883"/>
      <c r="R25" s="883"/>
      <c r="S25" s="883"/>
      <c r="T25" s="883"/>
      <c r="U25" s="883"/>
      <c r="V25" s="883"/>
      <c r="W25" s="883"/>
      <c r="X25" s="884"/>
    </row>
    <row r="26" spans="5:24" ht="16.2" customHeight="1" thickTop="1" thickBot="1" x14ac:dyDescent="0.35">
      <c r="E26" s="298"/>
      <c r="F26" s="182"/>
      <c r="G26" s="182"/>
      <c r="H26" s="182"/>
      <c r="I26" s="182"/>
      <c r="J26" s="281">
        <f>FOCUSYEAR</f>
        <v>2022</v>
      </c>
      <c r="K26" s="282">
        <f>COMPARISONYEAR</f>
        <v>2021</v>
      </c>
      <c r="L26" s="302" t="s">
        <v>113</v>
      </c>
      <c r="M26" s="880"/>
      <c r="N26" s="879"/>
      <c r="O26" s="881"/>
      <c r="P26" s="281">
        <f>FOCUSYEAR</f>
        <v>2022</v>
      </c>
      <c r="Q26" s="282">
        <f>COMPARISONYEAR</f>
        <v>2021</v>
      </c>
      <c r="R26" s="303" t="s">
        <v>113</v>
      </c>
      <c r="S26" s="182"/>
      <c r="T26" s="182"/>
      <c r="U26" s="182"/>
      <c r="V26" s="182"/>
      <c r="W26" s="182"/>
      <c r="X26" s="299"/>
    </row>
    <row r="27" spans="5:24" ht="16.2" customHeight="1" thickTop="1" thickBot="1" x14ac:dyDescent="0.35">
      <c r="E27" s="298"/>
      <c r="F27" s="182"/>
      <c r="G27" s="182"/>
      <c r="H27" s="182"/>
      <c r="I27" s="182"/>
      <c r="J27" s="655">
        <f>VLOOKUP(FOCUSYEAR&amp;".Economic Impact."&amp;$M27,REP.data,18,FALSE)*(1+VLOOKUP(FOCUSYEAR&amp;".economic impact."&amp;"VAT",REP.data,18,FALSE)/VLOOKUP(FOCUSYEAR&amp;".economic impact."&amp;"DIRECT REVENUE",REP.data,18,FALSE))*IF(REP.indexed="YES",INDEX(REP.indexationtoFOCUSYEAR,FOCUSYEAR.no),1)/$A$2</f>
        <v>0.7773065674556634</v>
      </c>
      <c r="K27" s="656">
        <f>VLOOKUP(COMPARISONYEAR&amp;".Economic Impact."&amp;$M27,REP.data,18,FALSE)*(1+VLOOKUP(COMPARISONYEAR&amp;".economic impact."&amp;"VAT",REP.data,18,FALSE)/VLOOKUP(COMPARISONYEAR&amp;".economic impact."&amp;"DIRECT REVENUE",REP.data,18,FALSE))*INDEX(REP.indexationtoFOCUSYEAR,MATCH(VALUE(COMPARISONYEAR),REP.yearsrange))/$A$2</f>
        <v>0.65278885735940539</v>
      </c>
      <c r="L27" s="195">
        <f>IFERROR(J27/K27-1,"")</f>
        <v>0.19074729706622806</v>
      </c>
      <c r="M27" s="849" t="s">
        <v>23</v>
      </c>
      <c r="N27" s="850"/>
      <c r="O27" s="851"/>
      <c r="P27" s="292">
        <f>VLOOKUP(FOCUSYEAR&amp;".Employment."&amp;$M27,REP.data,18,FALSE)</f>
        <v>11903.129862135786</v>
      </c>
      <c r="Q27" s="293">
        <f>VLOOKUP(COMPARISONYEAR&amp;".Employment."&amp;$M27,REP.data,18,FALSE)</f>
        <v>9049.9083066805106</v>
      </c>
      <c r="R27" s="195">
        <f>IFERROR(P27/Q27-1,"")</f>
        <v>0.31527629438511195</v>
      </c>
      <c r="S27" s="182"/>
      <c r="T27" s="182"/>
      <c r="U27" s="182"/>
      <c r="V27" s="182"/>
      <c r="W27" s="182"/>
      <c r="X27" s="299"/>
    </row>
    <row r="28" spans="5:24" ht="16.2" customHeight="1" thickTop="1" thickBot="1" x14ac:dyDescent="0.35">
      <c r="E28" s="298"/>
      <c r="F28" s="182"/>
      <c r="G28" s="182"/>
      <c r="H28" s="182"/>
      <c r="I28" s="182"/>
      <c r="J28" s="655">
        <f>VLOOKUP(FOCUSYEAR&amp;".Economic Impact."&amp;$M28,REP.data,18,FALSE)*(1+VLOOKUP(FOCUSYEAR&amp;".economic impact."&amp;"VAT",REP.data,18,FALSE)/VLOOKUP(FOCUSYEAR&amp;".economic impact."&amp;"DIRECT REVENUE",REP.data,18,FALSE))*IF(REP.indexed="YES",INDEX(REP.indexationtoFOCUSYEAR,FOCUSYEAR.no),1)/$A$2</f>
        <v>0.74947797253955994</v>
      </c>
      <c r="K28" s="656">
        <f>VLOOKUP(COMPARISONYEAR&amp;".Economic Impact."&amp;$M28,REP.data,18,FALSE)*(1+VLOOKUP(COMPARISONYEAR&amp;".economic impact."&amp;"VAT",REP.data,18,FALSE)/VLOOKUP(COMPARISONYEAR&amp;".economic impact."&amp;"DIRECT REVENUE",REP.data,18,FALSE))*INDEX(REP.indexationtoFOCUSYEAR,MATCH(VALUE(COMPARISONYEAR),REP.yearsrange))/$A$2</f>
        <v>0.51249417790086083</v>
      </c>
      <c r="L28" s="195">
        <f t="shared" ref="L28:L34" si="1">IFERROR(J28/K28-1,"")</f>
        <v>0.46241265727030822</v>
      </c>
      <c r="M28" s="849" t="s">
        <v>49</v>
      </c>
      <c r="N28" s="850"/>
      <c r="O28" s="851"/>
      <c r="P28" s="292">
        <f>VLOOKUP(FOCUSYEAR&amp;".Employment."&amp;$M28,REP.data,18,FALSE)</f>
        <v>9860.0029873510157</v>
      </c>
      <c r="Q28" s="293">
        <f>VLOOKUP(COMPARISONYEAR&amp;".Employment."&amp;$M28,REP.data,18,FALSE)</f>
        <v>8138.7057730257447</v>
      </c>
      <c r="R28" s="195">
        <f t="shared" ref="R28:R34" si="2">IFERROR(P28/Q28-1,"")</f>
        <v>0.21149520112032993</v>
      </c>
      <c r="S28" s="182"/>
      <c r="T28" s="182"/>
      <c r="U28" s="182"/>
      <c r="V28" s="182"/>
      <c r="W28" s="182"/>
      <c r="X28" s="299"/>
    </row>
    <row r="29" spans="5:24" ht="16.2" customHeight="1" thickTop="1" thickBot="1" x14ac:dyDescent="0.35">
      <c r="E29" s="298"/>
      <c r="F29" s="182"/>
      <c r="G29" s="182"/>
      <c r="H29" s="182"/>
      <c r="I29" s="182"/>
      <c r="J29" s="655">
        <f>VLOOKUP(FOCUSYEAR&amp;".Economic Impact."&amp;$M29,REP.data,18,FALSE)*(1+VLOOKUP(FOCUSYEAR&amp;".economic impact."&amp;"VAT",REP.data,18,FALSE)/VLOOKUP(FOCUSYEAR&amp;".economic impact."&amp;"DIRECT REVENUE",REP.data,18,FALSE))*IF(REP.indexed="YES",INDEX(REP.indexationtoFOCUSYEAR,FOCUSYEAR.no),1)/$A$2</f>
        <v>0.24677118759282743</v>
      </c>
      <c r="K29" s="656">
        <f>VLOOKUP(COMPARISONYEAR&amp;".Economic Impact."&amp;$M29,REP.data,18,FALSE)*(1+VLOOKUP(COMPARISONYEAR&amp;".economic impact."&amp;"VAT",REP.data,18,FALSE)/VLOOKUP(COMPARISONYEAR&amp;".economic impact."&amp;"DIRECT REVENUE",REP.data,18,FALSE))*INDEX(REP.indexationtoFOCUSYEAR,MATCH(VALUE(COMPARISONYEAR),REP.yearsrange))/$A$2</f>
        <v>0.19014767780396066</v>
      </c>
      <c r="L29" s="195">
        <f t="shared" si="1"/>
        <v>0.29778701713751521</v>
      </c>
      <c r="M29" s="849" t="s">
        <v>50</v>
      </c>
      <c r="N29" s="850"/>
      <c r="O29" s="851"/>
      <c r="P29" s="292">
        <f>VLOOKUP(FOCUSYEAR&amp;".Employment."&amp;$M29,REP.data,18,FALSE)</f>
        <v>3001.110064732316</v>
      </c>
      <c r="Q29" s="293">
        <f>VLOOKUP(COMPARISONYEAR&amp;".Employment."&amp;$M29,REP.data,18,FALSE)</f>
        <v>2645.2277065993799</v>
      </c>
      <c r="R29" s="195">
        <f t="shared" si="2"/>
        <v>0.13453751344168663</v>
      </c>
      <c r="S29" s="182"/>
      <c r="T29" s="182"/>
      <c r="U29" s="182"/>
      <c r="V29" s="182"/>
      <c r="W29" s="182"/>
      <c r="X29" s="299"/>
    </row>
    <row r="30" spans="5:24" ht="16.2" customHeight="1" thickTop="1" thickBot="1" x14ac:dyDescent="0.35">
      <c r="E30" s="298"/>
      <c r="F30" s="182"/>
      <c r="G30" s="182"/>
      <c r="H30" s="182"/>
      <c r="I30" s="182"/>
      <c r="J30" s="655">
        <f>VLOOKUP(FOCUSYEAR&amp;".Economic Impact."&amp;$M30,REP.data,18,FALSE)*(1+VLOOKUP(FOCUSYEAR&amp;".economic impact."&amp;"VAT",REP.data,18,FALSE)/VLOOKUP(FOCUSYEAR&amp;".economic impact."&amp;"DIRECT REVENUE",REP.data,18,FALSE))*IF(REP.indexed="YES",INDEX(REP.indexationtoFOCUSYEAR,FOCUSYEAR.no),1)/$A$2</f>
        <v>0.98267213847033852</v>
      </c>
      <c r="K30" s="656">
        <f>VLOOKUP(COMPARISONYEAR&amp;".Economic Impact."&amp;$M30,REP.data,18,FALSE)*(1+VLOOKUP(COMPARISONYEAR&amp;".economic impact."&amp;"VAT",REP.data,18,FALSE)/VLOOKUP(COMPARISONYEAR&amp;".economic impact."&amp;"DIRECT REVENUE",REP.data,18,FALSE))*INDEX(REP.indexationtoFOCUSYEAR,MATCH(VALUE(COMPARISONYEAR),REP.yearsrange))/$A$2</f>
        <v>0.63202093611646093</v>
      </c>
      <c r="L30" s="195">
        <f t="shared" si="1"/>
        <v>0.55480947278186998</v>
      </c>
      <c r="M30" s="849" t="s">
        <v>51</v>
      </c>
      <c r="N30" s="850"/>
      <c r="O30" s="851"/>
      <c r="P30" s="292">
        <f>VLOOKUP(FOCUSYEAR&amp;".Employment."&amp;$M30,REP.data,18,FALSE)</f>
        <v>9720.1994201086927</v>
      </c>
      <c r="Q30" s="293">
        <f>VLOOKUP(COMPARISONYEAR&amp;".Employment."&amp;$M30,REP.data,18,FALSE)</f>
        <v>6935.1971781258389</v>
      </c>
      <c r="R30" s="195">
        <f t="shared" si="2"/>
        <v>0.40157506274904065</v>
      </c>
      <c r="S30" s="182"/>
      <c r="T30" s="182"/>
      <c r="U30" s="182"/>
      <c r="V30" s="182"/>
      <c r="W30" s="182"/>
      <c r="X30" s="299"/>
    </row>
    <row r="31" spans="5:24" ht="16.2" customHeight="1" thickTop="1" thickBot="1" x14ac:dyDescent="0.35">
      <c r="E31" s="298"/>
      <c r="F31" s="182"/>
      <c r="G31" s="182"/>
      <c r="H31" s="182"/>
      <c r="I31" s="182"/>
      <c r="J31" s="655">
        <f>VLOOKUP(FOCUSYEAR&amp;".Economic Impact."&amp;$M31,REP.data,18,FALSE)*(1+VLOOKUP(FOCUSYEAR&amp;".economic impact."&amp;"VAT",REP.data,18,FALSE)/VLOOKUP(FOCUSYEAR&amp;".economic impact."&amp;"DIRECT REVENUE",REP.data,18,FALSE))*IF(REP.indexed="YES",INDEX(REP.indexationtoFOCUSYEAR,FOCUSYEAR.no),1)/$A$2</f>
        <v>0.33117756511660679</v>
      </c>
      <c r="K31" s="656">
        <f>VLOOKUP(COMPARISONYEAR&amp;".Economic Impact."&amp;$M31,REP.data,18,FALSE)*(1+VLOOKUP(COMPARISONYEAR&amp;".economic impact."&amp;"VAT",REP.data,18,FALSE)/VLOOKUP(COMPARISONYEAR&amp;".economic impact."&amp;"DIRECT REVENUE",REP.data,18,FALSE))*INDEX(REP.indexationtoFOCUSYEAR,MATCH(VALUE(COMPARISONYEAR),REP.yearsrange))/$A$2</f>
        <v>0.21889401803212424</v>
      </c>
      <c r="L31" s="195">
        <f t="shared" si="1"/>
        <v>0.51295849970648422</v>
      </c>
      <c r="M31" s="849" t="s">
        <v>52</v>
      </c>
      <c r="N31" s="850"/>
      <c r="O31" s="851"/>
      <c r="P31" s="292">
        <f>VLOOKUP(FOCUSYEAR&amp;".Employment."&amp;$M31,REP.data,18,FALSE)</f>
        <v>1580.7886520702589</v>
      </c>
      <c r="Q31" s="293">
        <f>VLOOKUP(COMPARISONYEAR&amp;".Employment."&amp;$M31,REP.data,18,FALSE)</f>
        <v>1180.4507898140316</v>
      </c>
      <c r="R31" s="195">
        <f t="shared" si="2"/>
        <v>0.33913981481540323</v>
      </c>
      <c r="S31" s="182"/>
      <c r="T31" s="182"/>
      <c r="U31" s="182"/>
      <c r="V31" s="182"/>
      <c r="W31" s="182"/>
      <c r="X31" s="299"/>
    </row>
    <row r="32" spans="5:24" ht="16.2" customHeight="1" thickTop="1" thickBot="1" x14ac:dyDescent="0.35">
      <c r="E32" s="298"/>
      <c r="F32" s="182"/>
      <c r="G32" s="182"/>
      <c r="H32" s="182"/>
      <c r="I32" s="182"/>
      <c r="J32" s="657">
        <f>SUM(J27:J31)</f>
        <v>3.0874054311749961</v>
      </c>
      <c r="K32" s="659">
        <f>SUM(K27:K31)</f>
        <v>2.2063456672128123</v>
      </c>
      <c r="L32" s="304">
        <f t="shared" si="1"/>
        <v>0.39932988608951336</v>
      </c>
      <c r="M32" s="852" t="s">
        <v>89</v>
      </c>
      <c r="N32" s="853"/>
      <c r="O32" s="854"/>
      <c r="P32" s="305">
        <f>SUM(P27:P31)</f>
        <v>36065.230986398063</v>
      </c>
      <c r="Q32" s="306">
        <f>SUM(Q27:Q31)</f>
        <v>27949.489754245507</v>
      </c>
      <c r="R32" s="304">
        <f t="shared" si="2"/>
        <v>0.290371713527249</v>
      </c>
      <c r="S32" s="182"/>
      <c r="T32" s="182"/>
      <c r="U32" s="182"/>
      <c r="V32" s="182"/>
      <c r="W32" s="182"/>
      <c r="X32" s="299"/>
    </row>
    <row r="33" spans="4:24" ht="16.2" customHeight="1" thickTop="1" thickBot="1" x14ac:dyDescent="0.35">
      <c r="E33" s="298"/>
      <c r="F33" s="182"/>
      <c r="G33" s="182"/>
      <c r="H33" s="182"/>
      <c r="I33" s="182"/>
      <c r="J33" s="655">
        <f>J34-J32</f>
        <v>1.0707283299032251</v>
      </c>
      <c r="K33" s="656">
        <f>K34-K32</f>
        <v>0.7763191951427002</v>
      </c>
      <c r="L33" s="195">
        <f t="shared" si="1"/>
        <v>0.379237221754394</v>
      </c>
      <c r="M33" s="843" t="s">
        <v>115</v>
      </c>
      <c r="N33" s="844"/>
      <c r="O33" s="845"/>
      <c r="P33" s="292">
        <f>P34-P32</f>
        <v>9135.5463485863365</v>
      </c>
      <c r="Q33" s="293">
        <f>Q34-Q32</f>
        <v>7548.0316960721684</v>
      </c>
      <c r="R33" s="195">
        <f t="shared" si="2"/>
        <v>0.2103216727799746</v>
      </c>
      <c r="S33" s="182"/>
      <c r="T33" s="182"/>
      <c r="U33" s="182"/>
      <c r="V33" s="182"/>
      <c r="W33" s="182"/>
      <c r="X33" s="299"/>
    </row>
    <row r="34" spans="4:24" ht="16.2" customHeight="1" thickTop="1" thickBot="1" x14ac:dyDescent="0.35">
      <c r="E34" s="298"/>
      <c r="F34" s="182"/>
      <c r="G34" s="182"/>
      <c r="H34" s="182"/>
      <c r="I34" s="182"/>
      <c r="J34" s="658">
        <f>VLOOKUP(FOCUSYEAR&amp;".economic impact."&amp;$M34,REP.data,18,FALSE)*INDEX(REP.indexationtoFOCUSYEAR,MATCH(VALUE(FOCUSYEAR),REP.yearsrange))/$A$2</f>
        <v>4.1581337610782212</v>
      </c>
      <c r="K34" s="660">
        <f>VLOOKUP(COMPARISONYEAR&amp;".economic impact."&amp;$M34,REP.data,18,FALSE)*INDEX(REP.indexationtoFOCUSYEAR,MATCH(VALUE(COMPARISONYEAR),REP.yearsrange))/$A$2</f>
        <v>2.9826648623555125</v>
      </c>
      <c r="L34" s="304">
        <f t="shared" si="1"/>
        <v>0.39410022680000356</v>
      </c>
      <c r="M34" s="846" t="s">
        <v>38</v>
      </c>
      <c r="N34" s="847"/>
      <c r="O34" s="848"/>
      <c r="P34" s="307">
        <f>VLOOKUP(FOCUSYEAR&amp;".Employment."&amp;$M34,REP.data,18,FALSE)</f>
        <v>45200.777334984399</v>
      </c>
      <c r="Q34" s="308">
        <f>VLOOKUP(COMPARISONYEAR&amp;".Employment."&amp;$M34,REP.data,18,FALSE)</f>
        <v>35497.521450317676</v>
      </c>
      <c r="R34" s="304">
        <f t="shared" si="2"/>
        <v>0.27335023652982082</v>
      </c>
      <c r="S34" s="182"/>
      <c r="T34" s="182"/>
      <c r="U34" s="182"/>
      <c r="V34" s="182"/>
      <c r="W34" s="182"/>
      <c r="X34" s="299"/>
    </row>
    <row r="35" spans="4:24" ht="15.75" customHeight="1" thickTop="1" thickBot="1" x14ac:dyDescent="0.35">
      <c r="E35" s="298"/>
      <c r="F35" s="182"/>
      <c r="G35" s="182"/>
      <c r="H35" s="182"/>
      <c r="I35" s="182"/>
      <c r="J35" s="675" t="str">
        <f>IF(ROUND(J32,0)&lt;&gt;ROUND(V15,0),"ERROR","")</f>
        <v/>
      </c>
      <c r="K35" s="675" t="str">
        <f>IF(ROUND(K32,0)&lt;&gt;ROUND(W15,0),"ERROR","")</f>
        <v/>
      </c>
      <c r="L35" s="167"/>
      <c r="M35" s="674"/>
      <c r="N35" s="674"/>
      <c r="O35" s="674"/>
      <c r="P35" s="675" t="str">
        <f>IF(ROUND(P32,0)&lt;&gt;ROUND(V17,0),"ERROR","")</f>
        <v/>
      </c>
      <c r="Q35" s="675" t="str">
        <f>IF(ROUND(Q32,0)&lt;&gt;ROUND(W17,0),"ERROR","")</f>
        <v/>
      </c>
      <c r="R35" s="673"/>
      <c r="S35" s="182"/>
      <c r="T35" s="182"/>
      <c r="U35" s="182"/>
      <c r="V35" s="182"/>
      <c r="W35" s="182"/>
      <c r="X35" s="299"/>
    </row>
    <row r="36" spans="4:24" s="174" customFormat="1" ht="16.2" customHeight="1" thickTop="1" thickBot="1" x14ac:dyDescent="0.2">
      <c r="D36" s="170"/>
      <c r="E36" s="171" t="str">
        <f>REP.footer1</f>
        <v>This report is copyright © Global Tourism Solutions (UK) Ltd 2023</v>
      </c>
      <c r="F36" s="172"/>
      <c r="G36" s="172"/>
      <c r="H36" s="172"/>
      <c r="I36" s="172"/>
      <c r="J36" s="172"/>
      <c r="K36" s="172"/>
      <c r="L36" s="172"/>
      <c r="M36" s="172"/>
      <c r="N36" s="172"/>
      <c r="O36" s="172"/>
      <c r="P36" s="172"/>
      <c r="Q36" s="172"/>
      <c r="R36" s="172"/>
      <c r="S36" s="172"/>
      <c r="T36" s="172"/>
      <c r="U36" s="172"/>
      <c r="V36" s="172"/>
      <c r="W36" s="172"/>
      <c r="X36" s="173" t="str">
        <f>REP.footer2</f>
        <v>Report Prepared by: Cathy James. Date of Issue: 05/09/23</v>
      </c>
    </row>
    <row r="37" spans="4:24" ht="16.2" customHeight="1" thickTop="1" x14ac:dyDescent="0.3"/>
    <row r="68" spans="7:23" ht="16.2" customHeight="1" x14ac:dyDescent="0.3">
      <c r="G68" s="111" t="s">
        <v>43</v>
      </c>
      <c r="H68" s="111" t="s">
        <v>43</v>
      </c>
      <c r="J68" s="111" t="s">
        <v>48</v>
      </c>
      <c r="K68" s="111" t="s">
        <v>48</v>
      </c>
      <c r="M68" s="111" t="s">
        <v>18</v>
      </c>
      <c r="N68" s="111" t="s">
        <v>18</v>
      </c>
      <c r="P68" s="111" t="s">
        <v>95</v>
      </c>
      <c r="S68" s="111" t="s">
        <v>71</v>
      </c>
      <c r="T68" s="111" t="s">
        <v>71</v>
      </c>
      <c r="V68" s="111" t="s">
        <v>54</v>
      </c>
      <c r="W68" s="111" t="s">
        <v>54</v>
      </c>
    </row>
  </sheetData>
  <sheetProtection algorithmName="SHA-512" hashValue="NlGzn1BsIAupGbJVPrS3zE8AUhcuSWuVhwoJO8+MC6aNrmXbC0qF3JNwKCDO7Dcx0awHGcnnLEsnEyr9JrYjcw==" saltValue="niW8ZFGzVUMtMh6rQd28Pg==" spinCount="100000" sheet="1" objects="1" scenarios="1"/>
  <mergeCells count="38">
    <mergeCell ref="E12:F12"/>
    <mergeCell ref="V9:X11"/>
    <mergeCell ref="E10:F10"/>
    <mergeCell ref="G10:L10"/>
    <mergeCell ref="M10:O11"/>
    <mergeCell ref="E11:F11"/>
    <mergeCell ref="G11:I11"/>
    <mergeCell ref="J11:L11"/>
    <mergeCell ref="E25:L25"/>
    <mergeCell ref="M25:O26"/>
    <mergeCell ref="P25:X25"/>
    <mergeCell ref="E20:F20"/>
    <mergeCell ref="G20:I20"/>
    <mergeCell ref="J20:L20"/>
    <mergeCell ref="M20:O20"/>
    <mergeCell ref="P20:R20"/>
    <mergeCell ref="S20:U20"/>
    <mergeCell ref="V20:X20"/>
    <mergeCell ref="E21:F21"/>
    <mergeCell ref="E22:F22"/>
    <mergeCell ref="E23:F23"/>
    <mergeCell ref="E24:F24"/>
    <mergeCell ref="S6:X7"/>
    <mergeCell ref="M33:O33"/>
    <mergeCell ref="M34:O34"/>
    <mergeCell ref="M27:O27"/>
    <mergeCell ref="M28:O28"/>
    <mergeCell ref="M29:O29"/>
    <mergeCell ref="M30:O30"/>
    <mergeCell ref="M31:O31"/>
    <mergeCell ref="M32:O32"/>
    <mergeCell ref="E19:X19"/>
    <mergeCell ref="P6:R6"/>
    <mergeCell ref="P7:R7"/>
    <mergeCell ref="E8:X8"/>
    <mergeCell ref="E9:F9"/>
    <mergeCell ref="P9:R11"/>
    <mergeCell ref="S9:U11"/>
  </mergeCells>
  <conditionalFormatting sqref="G13:H14">
    <cfRule type="expression" dxfId="187" priority="55">
      <formula>G13&lt;10</formula>
    </cfRule>
  </conditionalFormatting>
  <conditionalFormatting sqref="G16:H16">
    <cfRule type="expression" dxfId="186" priority="51">
      <formula>G16&lt;10</formula>
    </cfRule>
  </conditionalFormatting>
  <conditionalFormatting sqref="I13:I18">
    <cfRule type="cellIs" dxfId="185" priority="56" operator="greaterThanOrEqual">
      <formula>REP.percenthighlight</formula>
    </cfRule>
    <cfRule type="cellIs" dxfId="184" priority="57" operator="lessThanOrEqual">
      <formula>-REP.percenthighlight</formula>
    </cfRule>
  </conditionalFormatting>
  <conditionalFormatting sqref="J13:K14">
    <cfRule type="expression" dxfId="183" priority="4">
      <formula>J13&lt;10</formula>
    </cfRule>
  </conditionalFormatting>
  <conditionalFormatting sqref="J16:K34">
    <cfRule type="expression" dxfId="182" priority="3">
      <formula>J16&lt;10</formula>
    </cfRule>
  </conditionalFormatting>
  <conditionalFormatting sqref="J35:K35">
    <cfRule type="expression" dxfId="181" priority="53">
      <formula>J35="ERROR"</formula>
    </cfRule>
  </conditionalFormatting>
  <conditionalFormatting sqref="L13:L18">
    <cfRule type="cellIs" dxfId="180" priority="24" operator="greaterThanOrEqual">
      <formula>REP.percenthighlight</formula>
    </cfRule>
    <cfRule type="cellIs" dxfId="179" priority="25" operator="lessThanOrEqual">
      <formula>-REP.percenthighlight</formula>
    </cfRule>
  </conditionalFormatting>
  <conditionalFormatting sqref="L27:L35 R27:R35">
    <cfRule type="cellIs" dxfId="178" priority="59" operator="greaterThanOrEqual">
      <formula>REP.percenthighlight</formula>
    </cfRule>
    <cfRule type="cellIs" dxfId="177" priority="60" operator="lessThanOrEqual">
      <formula>-REP.percenthighlight</formula>
    </cfRule>
  </conditionalFormatting>
  <conditionalFormatting sqref="M13:N14">
    <cfRule type="expression" dxfId="176" priority="2">
      <formula>M13&lt;10</formula>
    </cfRule>
  </conditionalFormatting>
  <conditionalFormatting sqref="M16:N16">
    <cfRule type="expression" dxfId="175" priority="1">
      <formula>M16&lt;10</formula>
    </cfRule>
  </conditionalFormatting>
  <conditionalFormatting sqref="O13:O18">
    <cfRule type="cellIs" dxfId="174" priority="20" operator="greaterThanOrEqual">
      <formula>REP.percenthighlight</formula>
    </cfRule>
    <cfRule type="cellIs" dxfId="173" priority="21" operator="lessThanOrEqual">
      <formula>-REP.percenthighlight</formula>
    </cfRule>
  </conditionalFormatting>
  <conditionalFormatting sqref="P13:Q14">
    <cfRule type="expression" dxfId="172" priority="36">
      <formula>P13&lt;10</formula>
    </cfRule>
  </conditionalFormatting>
  <conditionalFormatting sqref="P16:Q16">
    <cfRule type="expression" dxfId="171" priority="14">
      <formula>P16&lt;10</formula>
    </cfRule>
  </conditionalFormatting>
  <conditionalFormatting sqref="P35:Q35">
    <cfRule type="expression" dxfId="170" priority="52">
      <formula>P35="ERROR"</formula>
    </cfRule>
  </conditionalFormatting>
  <conditionalFormatting sqref="R13:R18">
    <cfRule type="cellIs" dxfId="169" priority="16" operator="greaterThanOrEqual">
      <formula>REP.percenthighlight</formula>
    </cfRule>
    <cfRule type="cellIs" dxfId="168" priority="17" operator="lessThanOrEqual">
      <formula>-REP.percenthighlight</formula>
    </cfRule>
  </conditionalFormatting>
  <conditionalFormatting sqref="S13:T14">
    <cfRule type="expression" dxfId="167" priority="31">
      <formula>S13&lt;10</formula>
    </cfRule>
  </conditionalFormatting>
  <conditionalFormatting sqref="S16:T16">
    <cfRule type="expression" dxfId="166" priority="10">
      <formula>S16&lt;10</formula>
    </cfRule>
  </conditionalFormatting>
  <conditionalFormatting sqref="U13:U18">
    <cfRule type="cellIs" dxfId="165" priority="12" operator="greaterThanOrEqual">
      <formula>REP.percenthighlight</formula>
    </cfRule>
    <cfRule type="cellIs" dxfId="164" priority="13" operator="lessThanOrEqual">
      <formula>-REP.percenthighlight</formula>
    </cfRule>
  </conditionalFormatting>
  <conditionalFormatting sqref="V13:W16">
    <cfRule type="expression" dxfId="163" priority="6">
      <formula>V13&lt;10</formula>
    </cfRule>
  </conditionalFormatting>
  <conditionalFormatting sqref="X13:X18">
    <cfRule type="cellIs" dxfId="162" priority="8" operator="greaterThanOrEqual">
      <formula>REP.percenthighlight</formula>
    </cfRule>
    <cfRule type="cellIs" dxfId="161" priority="9" operator="less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9573" r:id="rId4" name="Drop Down 5">
              <controlPr defaultSize="0" autoLine="0" autoPict="0">
                <anchor moveWithCells="1">
                  <from>
                    <xdr:col>21</xdr:col>
                    <xdr:colOff>190500</xdr:colOff>
                    <xdr:row>4</xdr:row>
                    <xdr:rowOff>22860</xdr:rowOff>
                  </from>
                  <to>
                    <xdr:col>22</xdr:col>
                    <xdr:colOff>274320</xdr:colOff>
                    <xdr:row>4</xdr:row>
                    <xdr:rowOff>297180</xdr:rowOff>
                  </to>
                </anchor>
              </controlPr>
            </control>
          </mc:Choice>
        </mc:AlternateContent>
        <mc:AlternateContent xmlns:mc="http://schemas.openxmlformats.org/markup-compatibility/2006">
          <mc:Choice Requires="x14">
            <control shapeId="109574" r:id="rId5" name="Drop Down 6">
              <controlPr defaultSize="0" autoLine="0" autoPict="0">
                <anchor moveWithCells="1">
                  <from>
                    <xdr:col>6</xdr:col>
                    <xdr:colOff>426720</xdr:colOff>
                    <xdr:row>4</xdr:row>
                    <xdr:rowOff>22860</xdr:rowOff>
                  </from>
                  <to>
                    <xdr:col>8</xdr:col>
                    <xdr:colOff>144780</xdr:colOff>
                    <xdr:row>4</xdr:row>
                    <xdr:rowOff>297180</xdr:rowOff>
                  </to>
                </anchor>
              </controlPr>
            </control>
          </mc:Choice>
        </mc:AlternateContent>
        <mc:AlternateContent xmlns:mc="http://schemas.openxmlformats.org/markup-compatibility/2006">
          <mc:Choice Requires="x14">
            <control shapeId="109575" r:id="rId6" name="Drop Down 7">
              <controlPr defaultSize="0" autoLine="0" autoPict="0">
                <anchor moveWithCells="1">
                  <from>
                    <xdr:col>16</xdr:col>
                    <xdr:colOff>83820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09576" r:id="rId7" name="Drop Down 8">
              <controlPr defaultSize="0" autoLine="0" autoPict="0">
                <anchor moveWithCells="1">
                  <from>
                    <xdr:col>4</xdr:col>
                    <xdr:colOff>609600</xdr:colOff>
                    <xdr:row>4</xdr:row>
                    <xdr:rowOff>22860</xdr:rowOff>
                  </from>
                  <to>
                    <xdr:col>5</xdr:col>
                    <xdr:colOff>0</xdr:colOff>
                    <xdr:row>4</xdr:row>
                    <xdr:rowOff>297180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Output02">
    <tabColor theme="7"/>
    <outlinePr showOutlineSymbols="0"/>
    <pageSetUpPr autoPageBreaks="0" fitToPage="1"/>
  </sheetPr>
  <dimension ref="A1:Z70"/>
  <sheetViews>
    <sheetView showGridLines="0" showRowColHeaders="0" showZeros="0" showOutlineSymbols="0" topLeftCell="A2" zoomScaleNormal="100" workbookViewId="0">
      <pane ySplit="6" topLeftCell="A8" activePane="bottomLeft" state="frozen"/>
      <selection activeCell="M48" sqref="M48"/>
      <selection pane="bottomLeft" activeCell="AF24" sqref="AF24"/>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KEY MEASURES</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365" t="str">
        <f>REP.title1</f>
        <v>STEAM FINAL TREND REPORT FOR 2011-2022</v>
      </c>
      <c r="F6" s="393"/>
      <c r="G6" s="393"/>
      <c r="H6" s="393"/>
      <c r="I6" s="393"/>
      <c r="J6" s="393"/>
      <c r="K6" s="393"/>
      <c r="L6" s="393"/>
      <c r="M6" s="393"/>
      <c r="N6" s="393"/>
      <c r="O6" s="958" t="str">
        <f>MIN(REP.yearsrange)&amp;" to "&amp;MAX(REP.yearsrange)</f>
        <v>2011 to 2022</v>
      </c>
      <c r="P6" s="959"/>
      <c r="Q6" s="959"/>
      <c r="R6" s="960"/>
      <c r="S6" s="948" t="str">
        <f>UPPER(TYPE.userselected)</f>
        <v>TOTAL</v>
      </c>
      <c r="T6" s="949"/>
      <c r="U6" s="952" t="str">
        <f>IF(REP.indexed="YES","KEY MEASURES"&amp;CHAR(10)&amp;"Indexed","KEY MEASURES"&amp;CHAR(10)&amp;"Historic Prices")</f>
        <v>KEY MEASURES
Historic Prices</v>
      </c>
      <c r="V6" s="953"/>
      <c r="W6" s="953"/>
      <c r="X6" s="954"/>
    </row>
    <row r="7" spans="1:26" ht="16.2" customHeight="1" thickBot="1" x14ac:dyDescent="0.35">
      <c r="E7" s="366" t="str">
        <f>REP.title2</f>
        <v>NORTH WALES</v>
      </c>
      <c r="F7" s="367"/>
      <c r="G7" s="367"/>
      <c r="H7" s="367"/>
      <c r="I7" s="368"/>
      <c r="J7" s="368"/>
      <c r="K7" s="368"/>
      <c r="L7" s="368"/>
      <c r="M7" s="368"/>
      <c r="N7" s="368"/>
      <c r="O7" s="961" t="str">
        <f>IF(REP.indexed="YES",MAX(REP.yearsrange)&amp;" Prices","Historic Prices")</f>
        <v>Historic Prices</v>
      </c>
      <c r="P7" s="962"/>
      <c r="Q7" s="962"/>
      <c r="R7" s="963"/>
      <c r="S7" s="950"/>
      <c r="T7" s="951"/>
      <c r="U7" s="955"/>
      <c r="V7" s="956"/>
      <c r="W7" s="956"/>
      <c r="X7" s="957"/>
    </row>
    <row r="8" spans="1:26" ht="16.2" customHeight="1" thickTop="1" thickBot="1" x14ac:dyDescent="0.35">
      <c r="E8" s="876" t="str">
        <f>IF(REP.indexed="YES","Economic Impact - Indexed - ","Economic Impact - Historic Prices - ")&amp;TYPE.userselected</f>
        <v>Economic Impact - Historic Prices - Total</v>
      </c>
      <c r="F8" s="877"/>
      <c r="G8" s="877"/>
      <c r="H8" s="877"/>
      <c r="I8" s="877"/>
      <c r="J8" s="877"/>
      <c r="K8" s="877"/>
      <c r="L8" s="877"/>
      <c r="M8" s="877"/>
      <c r="N8" s="877"/>
      <c r="O8" s="945" t="str">
        <f ca="1">PROPER('VISITOR NUMBERS'!$U$6)&amp;" - "&amp;TYPE.userselected</f>
        <v>Visitor Numbers - Total</v>
      </c>
      <c r="P8" s="946"/>
      <c r="Q8" s="946"/>
      <c r="R8" s="946"/>
      <c r="S8" s="946"/>
      <c r="T8" s="946"/>
      <c r="U8" s="946"/>
      <c r="V8" s="946"/>
      <c r="W8" s="946"/>
      <c r="X8" s="947"/>
    </row>
    <row r="9" spans="1:26" s="125" customFormat="1" ht="16.2" customHeight="1" thickTop="1" thickBot="1" x14ac:dyDescent="0.35">
      <c r="E9" s="864" t="str">
        <f ca="1">'ECONOMIC IMPACT'!$P$7&amp;" "&amp;'ECONOMIC IMPACT'!$F$16</f>
        <v>Historic Prices £Bn</v>
      </c>
      <c r="F9" s="929"/>
      <c r="G9" s="929"/>
      <c r="H9" s="929"/>
      <c r="I9" s="929"/>
      <c r="J9" s="929"/>
      <c r="K9" s="929"/>
      <c r="L9" s="929"/>
      <c r="M9" s="929"/>
      <c r="N9" s="865"/>
      <c r="O9" s="864" t="str">
        <f ca="1">'VISITOR NUMBERS'!$F$16</f>
        <v>M</v>
      </c>
      <c r="P9" s="929"/>
      <c r="Q9" s="929"/>
      <c r="R9" s="929"/>
      <c r="S9" s="929"/>
      <c r="T9" s="929"/>
      <c r="U9" s="929"/>
      <c r="V9" s="929"/>
      <c r="W9" s="929"/>
      <c r="X9" s="865"/>
    </row>
    <row r="10" spans="1:26" s="125" customFormat="1" ht="16.2" customHeight="1" thickTop="1" thickBot="1" x14ac:dyDescent="0.35">
      <c r="E10" s="241"/>
      <c r="F10" s="242"/>
      <c r="G10" s="243"/>
      <c r="H10" s="244"/>
      <c r="I10" s="244"/>
      <c r="J10" s="244"/>
      <c r="K10" s="244"/>
      <c r="L10" s="244"/>
      <c r="M10" s="244"/>
      <c r="N10" s="244"/>
      <c r="O10" s="244"/>
      <c r="P10" s="244"/>
      <c r="Q10" s="244"/>
      <c r="R10" s="245"/>
      <c r="S10" s="246"/>
      <c r="T10" s="246"/>
      <c r="U10" s="247"/>
      <c r="V10" s="248"/>
      <c r="W10" s="248"/>
      <c r="X10" s="249"/>
    </row>
    <row r="11" spans="1:26" s="125" customFormat="1" ht="16.2" customHeight="1" thickTop="1" thickBot="1" x14ac:dyDescent="0.35">
      <c r="E11" s="241"/>
      <c r="F11" s="242"/>
      <c r="G11" s="241"/>
      <c r="H11" s="250"/>
      <c r="I11" s="242"/>
      <c r="J11" s="241"/>
      <c r="K11" s="250"/>
      <c r="L11" s="242"/>
      <c r="M11" s="251"/>
      <c r="N11" s="252"/>
      <c r="O11" s="253"/>
      <c r="P11" s="251"/>
      <c r="Q11" s="252"/>
      <c r="R11" s="253"/>
      <c r="S11" s="254"/>
      <c r="T11" s="254"/>
      <c r="U11" s="255"/>
      <c r="V11" s="256"/>
      <c r="W11" s="256"/>
      <c r="X11" s="257"/>
    </row>
    <row r="12" spans="1:26" ht="16.2" customHeight="1" thickTop="1" thickBot="1" x14ac:dyDescent="0.35">
      <c r="E12" s="258"/>
      <c r="F12" s="259"/>
      <c r="G12" s="260"/>
      <c r="H12" s="260"/>
      <c r="I12" s="260"/>
      <c r="J12" s="260"/>
      <c r="K12" s="260"/>
      <c r="L12" s="260"/>
      <c r="M12" s="261"/>
      <c r="N12" s="261"/>
      <c r="O12" s="261"/>
      <c r="P12" s="261"/>
      <c r="Q12" s="261"/>
      <c r="R12" s="261"/>
      <c r="S12" s="262"/>
      <c r="T12" s="262"/>
      <c r="U12" s="263"/>
      <c r="V12" s="263"/>
      <c r="W12" s="213"/>
      <c r="X12" s="213"/>
    </row>
    <row r="13" spans="1:26" ht="16.2" customHeight="1" thickTop="1" thickBot="1" x14ac:dyDescent="0.35">
      <c r="E13" s="264"/>
      <c r="F13" s="264"/>
      <c r="G13" s="135"/>
      <c r="H13" s="135"/>
      <c r="I13" s="135"/>
      <c r="J13" s="135"/>
      <c r="K13" s="135"/>
      <c r="L13" s="135"/>
      <c r="M13" s="192"/>
      <c r="N13" s="192"/>
      <c r="O13" s="192"/>
      <c r="P13" s="192"/>
      <c r="Q13" s="192"/>
      <c r="R13" s="192"/>
      <c r="S13" s="192"/>
      <c r="T13" s="265"/>
      <c r="U13" s="135"/>
      <c r="V13" s="135"/>
      <c r="W13" s="135"/>
      <c r="X13" s="135"/>
    </row>
    <row r="14" spans="1:26" ht="16.2" customHeight="1" thickTop="1" thickBot="1" x14ac:dyDescent="0.35">
      <c r="E14" s="264"/>
      <c r="F14" s="264"/>
      <c r="G14" s="135"/>
      <c r="H14" s="135"/>
      <c r="I14" s="135"/>
      <c r="J14" s="135"/>
      <c r="K14" s="135"/>
      <c r="L14" s="135"/>
      <c r="M14" s="192"/>
      <c r="N14" s="192"/>
      <c r="O14" s="192"/>
      <c r="P14" s="192"/>
      <c r="Q14" s="192"/>
      <c r="R14" s="192"/>
      <c r="S14" s="192"/>
      <c r="T14" s="265"/>
      <c r="U14" s="135"/>
      <c r="V14" s="135"/>
      <c r="W14" s="135"/>
      <c r="X14" s="135"/>
    </row>
    <row r="15" spans="1:26" ht="16.2" customHeight="1" thickTop="1" thickBot="1" x14ac:dyDescent="0.35">
      <c r="E15" s="264"/>
      <c r="F15" s="264"/>
      <c r="G15" s="135"/>
      <c r="H15" s="135"/>
      <c r="I15" s="135"/>
      <c r="J15" s="135"/>
      <c r="K15" s="135"/>
      <c r="L15" s="135"/>
      <c r="M15" s="192"/>
      <c r="N15" s="192"/>
      <c r="O15" s="192"/>
      <c r="P15" s="192"/>
      <c r="Q15" s="192"/>
      <c r="R15" s="192"/>
      <c r="S15" s="192"/>
      <c r="T15" s="265"/>
      <c r="U15" s="135"/>
      <c r="V15" s="135"/>
      <c r="W15" s="135"/>
      <c r="X15" s="135"/>
    </row>
    <row r="16" spans="1:26" ht="16.2" customHeight="1" thickTop="1" thickBot="1" x14ac:dyDescent="0.35">
      <c r="E16" s="266"/>
      <c r="F16" s="267"/>
      <c r="G16" s="268"/>
      <c r="H16" s="268"/>
      <c r="I16" s="268"/>
      <c r="J16" s="268"/>
      <c r="K16" s="268"/>
      <c r="L16" s="268"/>
      <c r="M16" s="269"/>
      <c r="N16" s="269"/>
      <c r="O16" s="269"/>
      <c r="P16" s="269"/>
      <c r="Q16" s="269"/>
      <c r="R16" s="269"/>
      <c r="S16" s="269"/>
      <c r="T16" s="265"/>
      <c r="U16" s="268"/>
      <c r="V16" s="268"/>
      <c r="W16" s="269"/>
      <c r="X16" s="269"/>
      <c r="Y16" s="270"/>
      <c r="Z16" s="111" t="b">
        <f>K16&gt;1000000</f>
        <v>0</v>
      </c>
    </row>
    <row r="17" spans="4:24" ht="16.2" customHeight="1" thickTop="1" thickBot="1" x14ac:dyDescent="0.35">
      <c r="E17" s="266"/>
      <c r="F17" s="267"/>
      <c r="G17" s="268"/>
      <c r="H17" s="268"/>
      <c r="I17" s="268"/>
      <c r="J17" s="268"/>
      <c r="K17" s="268"/>
      <c r="L17" s="268"/>
      <c r="M17" s="269"/>
      <c r="N17" s="269"/>
      <c r="O17" s="269"/>
      <c r="P17" s="269"/>
      <c r="Q17" s="269"/>
      <c r="R17" s="269"/>
      <c r="S17" s="269"/>
      <c r="T17" s="135"/>
      <c r="U17" s="268"/>
      <c r="V17" s="268"/>
      <c r="W17" s="269"/>
      <c r="X17" s="269"/>
    </row>
    <row r="18" spans="4:24" ht="16.2" customHeight="1" thickTop="1" thickBot="1" x14ac:dyDescent="0.35">
      <c r="E18" s="266"/>
      <c r="F18" s="267"/>
      <c r="G18" s="268"/>
      <c r="H18" s="268"/>
      <c r="I18" s="268"/>
      <c r="J18" s="268"/>
      <c r="K18" s="268"/>
      <c r="L18" s="268"/>
      <c r="M18" s="269"/>
      <c r="N18" s="269"/>
      <c r="O18" s="269"/>
      <c r="P18" s="269"/>
      <c r="Q18" s="269"/>
      <c r="R18" s="269"/>
      <c r="S18" s="269"/>
      <c r="T18" s="135"/>
      <c r="U18" s="268"/>
      <c r="V18" s="268"/>
      <c r="W18" s="269"/>
      <c r="X18" s="269"/>
    </row>
    <row r="19" spans="4:24" ht="16.2" customHeight="1" thickTop="1" thickBot="1" x14ac:dyDescent="0.35">
      <c r="E19" s="266"/>
      <c r="F19" s="229"/>
      <c r="G19" s="271"/>
      <c r="H19" s="271"/>
      <c r="I19" s="271"/>
      <c r="J19" s="271"/>
      <c r="K19" s="271"/>
      <c r="L19" s="271"/>
      <c r="M19" s="272"/>
      <c r="N19" s="272"/>
      <c r="O19" s="273"/>
      <c r="P19" s="272"/>
      <c r="Q19" s="272"/>
      <c r="R19" s="272"/>
      <c r="S19" s="272"/>
      <c r="T19" s="274"/>
      <c r="U19" s="271"/>
      <c r="V19" s="271"/>
      <c r="W19" s="272"/>
      <c r="X19" s="275"/>
    </row>
    <row r="20" spans="4:24" ht="16.2" customHeight="1" thickTop="1" thickBot="1" x14ac:dyDescent="0.35">
      <c r="E20" s="927" t="str">
        <f ca="1">PROPER('VISITOR DAYS'!$U$6)&amp;" - "&amp;TYPE.userselected</f>
        <v>Visitor Days - Total</v>
      </c>
      <c r="F20" s="928"/>
      <c r="G20" s="928"/>
      <c r="H20" s="928"/>
      <c r="I20" s="928"/>
      <c r="J20" s="928"/>
      <c r="K20" s="928"/>
      <c r="L20" s="928"/>
      <c r="M20" s="928"/>
      <c r="N20" s="928"/>
      <c r="O20" s="930" t="str">
        <f ca="1">PROPER(EMPLOYMENT!$U$6)&amp;" Supported - "&amp;TYPE.userselected</f>
        <v>Total Employment Supported - Total</v>
      </c>
      <c r="P20" s="931"/>
      <c r="Q20" s="931"/>
      <c r="R20" s="931"/>
      <c r="S20" s="931"/>
      <c r="T20" s="931"/>
      <c r="U20" s="931"/>
      <c r="V20" s="931"/>
      <c r="W20" s="931"/>
      <c r="X20" s="932"/>
    </row>
    <row r="21" spans="4:24" ht="16.2" customHeight="1" thickTop="1" thickBot="1" x14ac:dyDescent="0.35">
      <c r="E21" s="864" t="str">
        <f ca="1">'VISITOR DAYS'!$F$16</f>
        <v>M</v>
      </c>
      <c r="F21" s="929"/>
      <c r="G21" s="929"/>
      <c r="H21" s="929"/>
      <c r="I21" s="929"/>
      <c r="J21" s="929"/>
      <c r="K21" s="929"/>
      <c r="L21" s="929"/>
      <c r="M21" s="929"/>
      <c r="N21" s="865"/>
      <c r="O21" s="864" t="str">
        <f>EMPLOYMENT!$F$16</f>
        <v>FTEs</v>
      </c>
      <c r="P21" s="929"/>
      <c r="Q21" s="929"/>
      <c r="R21" s="929"/>
      <c r="S21" s="929"/>
      <c r="T21" s="929"/>
      <c r="U21" s="929"/>
      <c r="V21" s="929"/>
      <c r="W21" s="929"/>
      <c r="X21" s="865"/>
    </row>
    <row r="22" spans="4:24" ht="16.2" customHeight="1" thickTop="1" thickBot="1" x14ac:dyDescent="0.35">
      <c r="E22" s="241"/>
      <c r="F22" s="242"/>
      <c r="G22" s="243"/>
      <c r="H22" s="244"/>
      <c r="I22" s="244"/>
      <c r="J22" s="244"/>
      <c r="K22" s="244"/>
      <c r="L22" s="244"/>
      <c r="M22" s="244"/>
      <c r="N22" s="244"/>
      <c r="O22" s="241"/>
      <c r="P22" s="242"/>
      <c r="Q22" s="243"/>
      <c r="R22" s="244"/>
      <c r="S22" s="244"/>
      <c r="T22" s="244"/>
      <c r="U22" s="244"/>
      <c r="V22" s="244"/>
      <c r="W22" s="244"/>
      <c r="X22" s="245"/>
    </row>
    <row r="23" spans="4:24" ht="16.2" customHeight="1" thickTop="1" thickBot="1" x14ac:dyDescent="0.35">
      <c r="E23" s="241"/>
      <c r="F23" s="242"/>
      <c r="G23" s="241"/>
      <c r="H23" s="250"/>
      <c r="I23" s="242"/>
      <c r="J23" s="241"/>
      <c r="K23" s="250"/>
      <c r="L23" s="242"/>
      <c r="M23" s="251"/>
      <c r="N23" s="252"/>
      <c r="O23" s="241"/>
      <c r="P23" s="242"/>
      <c r="Q23" s="241"/>
      <c r="R23" s="250"/>
      <c r="S23" s="242"/>
      <c r="T23" s="241"/>
      <c r="U23" s="250"/>
      <c r="V23" s="242"/>
      <c r="W23" s="251"/>
      <c r="X23" s="253"/>
    </row>
    <row r="24" spans="4:24" ht="16.2" customHeight="1" thickTop="1" thickBot="1" x14ac:dyDescent="0.35">
      <c r="E24" s="258"/>
      <c r="F24" s="259"/>
      <c r="G24" s="260"/>
      <c r="H24" s="260"/>
      <c r="I24" s="260"/>
      <c r="J24" s="260"/>
      <c r="K24" s="260"/>
      <c r="L24" s="260"/>
      <c r="M24" s="261"/>
      <c r="N24" s="261"/>
      <c r="O24" s="258"/>
      <c r="P24" s="259"/>
      <c r="Q24" s="260"/>
      <c r="R24" s="260"/>
      <c r="S24" s="260"/>
      <c r="T24" s="260"/>
      <c r="U24" s="260"/>
      <c r="V24" s="260"/>
      <c r="W24" s="261"/>
      <c r="X24" s="133"/>
    </row>
    <row r="25" spans="4:24" ht="16.2" customHeight="1" thickTop="1" thickBot="1" x14ac:dyDescent="0.35">
      <c r="E25" s="264"/>
      <c r="F25" s="264"/>
      <c r="G25" s="135"/>
      <c r="H25" s="135"/>
      <c r="I25" s="135"/>
      <c r="J25" s="135"/>
      <c r="K25" s="135"/>
      <c r="L25" s="135"/>
      <c r="M25" s="192"/>
      <c r="N25" s="192"/>
      <c r="O25" s="264"/>
      <c r="P25" s="264"/>
      <c r="Q25" s="135"/>
      <c r="R25" s="135"/>
      <c r="S25" s="135"/>
      <c r="T25" s="135"/>
      <c r="U25" s="135"/>
      <c r="V25" s="135"/>
      <c r="W25" s="192"/>
      <c r="X25" s="192"/>
    </row>
    <row r="26" spans="4:24" ht="16.2" customHeight="1" thickTop="1" thickBot="1" x14ac:dyDescent="0.35">
      <c r="E26" s="264"/>
      <c r="F26" s="264"/>
      <c r="G26" s="135"/>
      <c r="H26" s="135"/>
      <c r="I26" s="135"/>
      <c r="J26" s="135"/>
      <c r="K26" s="135"/>
      <c r="L26" s="135"/>
      <c r="M26" s="192"/>
      <c r="N26" s="192"/>
      <c r="O26" s="264"/>
      <c r="P26" s="264"/>
      <c r="Q26" s="135"/>
      <c r="R26" s="135"/>
      <c r="S26" s="135"/>
      <c r="T26" s="135"/>
      <c r="U26" s="135"/>
      <c r="V26" s="135"/>
      <c r="W26" s="192"/>
      <c r="X26" s="192"/>
    </row>
    <row r="27" spans="4:24" ht="16.2" customHeight="1" thickTop="1" thickBot="1" x14ac:dyDescent="0.35">
      <c r="D27" s="196" t="str">
        <f ca="1">"'"&amp;$A$1&amp;"'!"&amp;CELL("address",G27)&amp;":"&amp;CELL("address",OFFSET(G27,0,COUNT(REP.yearsrange)-1))</f>
        <v>'KEY MEASURES'!$G$27:$R$27</v>
      </c>
      <c r="E27" s="264"/>
      <c r="F27" s="264"/>
      <c r="G27" s="135"/>
      <c r="H27" s="135"/>
      <c r="I27" s="135"/>
      <c r="J27" s="135"/>
      <c r="K27" s="135"/>
      <c r="L27" s="135"/>
      <c r="M27" s="192"/>
      <c r="N27" s="192"/>
      <c r="O27" s="264"/>
      <c r="P27" s="264"/>
      <c r="Q27" s="135"/>
      <c r="R27" s="135"/>
      <c r="S27" s="135"/>
      <c r="T27" s="135"/>
      <c r="U27" s="135"/>
      <c r="V27" s="135"/>
      <c r="W27" s="192"/>
      <c r="X27" s="192"/>
    </row>
    <row r="28" spans="4:24" ht="16.2" customHeight="1" thickTop="1" thickBot="1" x14ac:dyDescent="0.35">
      <c r="D28" s="196" t="str">
        <f ca="1">"'"&amp;$A$1&amp;"'!"&amp;CELL("address",G28)&amp;":"&amp;CELL("address",OFFSET(G28,0,COUNT(REP.yearsrange)-1))</f>
        <v>'KEY MEASURES'!$G$28:$R$28</v>
      </c>
      <c r="E28" s="266"/>
      <c r="F28" s="267"/>
      <c r="G28" s="268"/>
      <c r="H28" s="268"/>
      <c r="I28" s="268"/>
      <c r="J28" s="268"/>
      <c r="K28" s="268"/>
      <c r="L28" s="268"/>
      <c r="M28" s="269"/>
      <c r="N28" s="269"/>
      <c r="O28" s="266"/>
      <c r="P28" s="267"/>
      <c r="Q28" s="268"/>
      <c r="R28" s="268"/>
      <c r="S28" s="268"/>
      <c r="T28" s="268"/>
      <c r="U28" s="268"/>
      <c r="V28" s="268"/>
      <c r="W28" s="269"/>
      <c r="X28" s="269"/>
    </row>
    <row r="29" spans="4:24" ht="16.2" customHeight="1" thickTop="1" thickBot="1" x14ac:dyDescent="0.35">
      <c r="D29" s="196" t="str">
        <f ca="1">"'"&amp;$A$1&amp;"'!"&amp;CELL("address",G29)&amp;":"&amp;CELL("address",OFFSET(G29,0,COUNT(REP.yearsrange)-1))</f>
        <v>'KEY MEASURES'!$G$29:$R$29</v>
      </c>
      <c r="E29" s="266"/>
      <c r="F29" s="267"/>
      <c r="G29" s="268"/>
      <c r="H29" s="268"/>
      <c r="I29" s="268"/>
      <c r="J29" s="268"/>
      <c r="K29" s="268"/>
      <c r="L29" s="268"/>
      <c r="M29" s="269"/>
      <c r="N29" s="269"/>
      <c r="O29" s="266"/>
      <c r="P29" s="267"/>
      <c r="Q29" s="268"/>
      <c r="R29" s="268"/>
      <c r="S29" s="268"/>
      <c r="T29" s="268"/>
      <c r="U29" s="268"/>
      <c r="V29" s="268"/>
      <c r="W29" s="269"/>
      <c r="X29" s="269"/>
    </row>
    <row r="30" spans="4:24" ht="16.2" customHeight="1" thickTop="1" thickBot="1" x14ac:dyDescent="0.35">
      <c r="D30" s="196" t="str">
        <f ca="1">"'"&amp;$A$1&amp;"'!"&amp;CELL("address",G30)&amp;":"&amp;CELL("address",OFFSET(G30,0,COUNT(REP.yearsrange)-1))</f>
        <v>'KEY MEASURES'!$G$30:$R$30</v>
      </c>
      <c r="E30" s="266"/>
      <c r="F30" s="267"/>
      <c r="G30" s="268"/>
      <c r="H30" s="268"/>
      <c r="I30" s="268"/>
      <c r="J30" s="268"/>
      <c r="K30" s="268"/>
      <c r="L30" s="268"/>
      <c r="M30" s="269"/>
      <c r="N30" s="269"/>
      <c r="O30" s="266"/>
      <c r="P30" s="267"/>
      <c r="Q30" s="268"/>
      <c r="R30" s="268"/>
      <c r="S30" s="268"/>
      <c r="T30" s="268"/>
      <c r="U30" s="268"/>
      <c r="V30" s="268"/>
      <c r="W30" s="269"/>
      <c r="X30" s="269"/>
    </row>
    <row r="31" spans="4:24" ht="16.2" customHeight="1" thickTop="1" thickBot="1" x14ac:dyDescent="0.35">
      <c r="D31" s="196" t="str">
        <f ca="1">"'"&amp;$A$1&amp;"'!"&amp;CELL("address",G31)&amp;":"&amp;CELL("address",OFFSET(G31,0,COUNT(REP.yearsrange)-1))</f>
        <v>'KEY MEASURES'!$G$31:$R$31</v>
      </c>
      <c r="E31" s="266"/>
      <c r="F31" s="267"/>
      <c r="G31" s="268"/>
      <c r="H31" s="268"/>
      <c r="I31" s="268"/>
      <c r="J31" s="268"/>
      <c r="K31" s="268"/>
      <c r="L31" s="268"/>
      <c r="M31" s="269"/>
      <c r="N31" s="269"/>
      <c r="O31" s="266"/>
      <c r="P31" s="267"/>
      <c r="Q31" s="268"/>
      <c r="R31" s="268"/>
      <c r="S31" s="268"/>
      <c r="T31" s="268"/>
      <c r="U31" s="268"/>
      <c r="V31" s="268"/>
      <c r="W31" s="269"/>
      <c r="X31" s="269"/>
    </row>
    <row r="32" spans="4:24" ht="16.2" customHeight="1" thickTop="1" thickBot="1" x14ac:dyDescent="0.35">
      <c r="D32" s="196"/>
      <c r="E32" s="266"/>
      <c r="F32" s="267"/>
      <c r="G32" s="268"/>
      <c r="H32" s="268"/>
      <c r="I32" s="666"/>
      <c r="J32" s="666"/>
      <c r="K32" s="666"/>
      <c r="L32" s="666"/>
      <c r="M32" s="667"/>
      <c r="N32" s="667"/>
      <c r="O32" s="668"/>
      <c r="P32" s="669"/>
      <c r="Q32" s="666"/>
      <c r="R32" s="666"/>
      <c r="S32" s="268"/>
      <c r="T32" s="670"/>
      <c r="U32" s="670"/>
      <c r="V32" s="670"/>
      <c r="W32" s="671"/>
      <c r="X32" s="672"/>
    </row>
    <row r="33" spans="4:24" ht="16.2" customHeight="1" thickTop="1" thickBot="1" x14ac:dyDescent="0.35">
      <c r="D33" s="196" t="str">
        <f ca="1">"'"&amp;$A$1&amp;"'!"&amp;CELL("address",G33)&amp;":"&amp;CELL("address",OFFSET(G33,0,COUNT(REP.yearsrange)-1))</f>
        <v>'KEY MEASURES'!$G$33:$R$33</v>
      </c>
      <c r="E33" s="937" t="str">
        <f>"% Change from "&amp;MIN(REP.yearsrange)</f>
        <v>% Change from 2011</v>
      </c>
      <c r="F33" s="938"/>
      <c r="G33" s="197">
        <f t="array" ref="G33:R33">TRANSPOSE(REP.yearsrange)</f>
        <v>2011</v>
      </c>
      <c r="H33" s="197">
        <v>2012</v>
      </c>
      <c r="I33" s="198">
        <v>2013</v>
      </c>
      <c r="J33" s="198">
        <v>2014</v>
      </c>
      <c r="K33" s="198">
        <v>2015</v>
      </c>
      <c r="L33" s="198">
        <v>2016</v>
      </c>
      <c r="M33" s="198">
        <v>2017</v>
      </c>
      <c r="N33" s="198">
        <v>2018</v>
      </c>
      <c r="O33" s="198">
        <v>2019</v>
      </c>
      <c r="P33" s="198">
        <v>2020</v>
      </c>
      <c r="Q33" s="198">
        <v>2021</v>
      </c>
      <c r="R33" s="198">
        <v>2022</v>
      </c>
      <c r="S33" s="268"/>
      <c r="T33" s="933" t="s">
        <v>180</v>
      </c>
      <c r="U33" s="933"/>
      <c r="V33" s="933"/>
      <c r="W33" s="933"/>
      <c r="X33" s="934"/>
    </row>
    <row r="34" spans="4:24" ht="16.2" customHeight="1" thickTop="1" thickBot="1" x14ac:dyDescent="0.35">
      <c r="D34" s="196"/>
      <c r="E34" s="939" t="str">
        <f>IF(REP.indexed="YES","Economic Impact - Indexed","Economic Impact - Historic Prices")</f>
        <v>Economic Impact - Historic Prices</v>
      </c>
      <c r="F34" s="940"/>
      <c r="G34" s="135">
        <f ca="1">IFERROR(IF('KEY MEASURES'!G$33=0,"",'ECONOMIC IMPACT'!G$30/'ECONOMIC IMPACT'!$G$30-1),"")</f>
        <v>0</v>
      </c>
      <c r="H34" s="135">
        <f ca="1">IFERROR(IF('KEY MEASURES'!H$33=0,"",'ECONOMIC IMPACT'!H$30/'ECONOMIC IMPACT'!$G$30-1),"")</f>
        <v>2.7380966707271082E-3</v>
      </c>
      <c r="I34" s="135">
        <f ca="1">IFERROR(IF('KEY MEASURES'!I$33=0,"",'ECONOMIC IMPACT'!I$30/'ECONOMIC IMPACT'!$G$30-1),"")</f>
        <v>8.0679561305130099E-2</v>
      </c>
      <c r="J34" s="135">
        <f ca="1">IFERROR(IF('KEY MEASURES'!J$33=0,"",'ECONOMIC IMPACT'!J$30/'ECONOMIC IMPACT'!$G$30-1),"")</f>
        <v>0.13022024496882412</v>
      </c>
      <c r="K34" s="135">
        <f ca="1">IFERROR(IF('KEY MEASURES'!K$33=0,"",'ECONOMIC IMPACT'!K$30/'ECONOMIC IMPACT'!$G$30-1),"")</f>
        <v>0.17622118828508615</v>
      </c>
      <c r="L34" s="135">
        <f ca="1">IFERROR(IF('KEY MEASURES'!L$33=0,"",'ECONOMIC IMPACT'!L$30/'ECONOMIC IMPACT'!$G$30-1),"")</f>
        <v>0.2135782125920509</v>
      </c>
      <c r="M34" s="135">
        <f ca="1">IFERROR(IF('KEY MEASURES'!M$33=0,"",'ECONOMIC IMPACT'!M$30/'ECONOMIC IMPACT'!$G$30-1),"")</f>
        <v>0.284778587258949</v>
      </c>
      <c r="N34" s="135">
        <f ca="1">IFERROR(IF('KEY MEASURES'!N$33=0,"",'ECONOMIC IMPACT'!N$30/'ECONOMIC IMPACT'!$G$30-1),"")</f>
        <v>0.39048383857383606</v>
      </c>
      <c r="O34" s="135">
        <f ca="1">IFERROR(IF('KEY MEASURES'!O$33=0,"",'ECONOMIC IMPACT'!O$30/'ECONOMIC IMPACT'!$G$30-1),"")</f>
        <v>0.51151385463832355</v>
      </c>
      <c r="P34" s="135">
        <f ca="1">IFERROR(IF('KEY MEASURES'!P$33=0,"",'ECONOMIC IMPACT'!P$30/'ECONOMIC IMPACT'!$G$30-1),"")</f>
        <v>-0.39564449859709339</v>
      </c>
      <c r="Q34" s="135">
        <f ca="1">IFERROR(IF('KEY MEASURES'!Q$33=0,"",'ECONOMIC IMPACT'!Q$30/'ECONOMIC IMPACT'!$G$30-1),"")</f>
        <v>0.22163884081397978</v>
      </c>
      <c r="R34" s="135">
        <f ca="1">IFERROR(IF('KEY MEASURES'!R$33=0,"",'ECONOMIC IMPACT'!R$30/'ECONOMIC IMPACT'!$G$30-1),"")</f>
        <v>0.7030869850464625</v>
      </c>
      <c r="S34" s="276"/>
      <c r="T34" s="935"/>
      <c r="U34" s="935"/>
      <c r="V34" s="935"/>
      <c r="W34" s="935"/>
      <c r="X34" s="936"/>
    </row>
    <row r="35" spans="4:24" ht="16.2" customHeight="1" thickTop="1" thickBot="1" x14ac:dyDescent="0.35">
      <c r="D35" s="196"/>
      <c r="E35" s="941" t="str">
        <f ca="1">PROPER('VISITOR NUMBERS'!$U$6)</f>
        <v>Visitor Numbers</v>
      </c>
      <c r="F35" s="942"/>
      <c r="G35" s="135">
        <f ca="1">IFERROR(IF('KEY MEASURES'!G$33=0,"",'VISITOR NUMBERS'!G$30/'VISITOR NUMBERS'!$G$30-1),"")</f>
        <v>0</v>
      </c>
      <c r="H35" s="135">
        <f ca="1">IFERROR(IF('KEY MEASURES'!H$33=0,"",'VISITOR NUMBERS'!H$30/'VISITOR NUMBERS'!$G$30-1),"")</f>
        <v>-2.2929356623418773E-2</v>
      </c>
      <c r="I35" s="135">
        <f ca="1">IFERROR(IF('KEY MEASURES'!I$33=0,"",'VISITOR NUMBERS'!I$30/'VISITOR NUMBERS'!$G$30-1),"")</f>
        <v>1.9561723560804323E-2</v>
      </c>
      <c r="J35" s="135">
        <f ca="1">IFERROR(IF('KEY MEASURES'!J$33=0,"",'VISITOR NUMBERS'!J$30/'VISITOR NUMBERS'!$G$30-1),"")</f>
        <v>4.109841439285411E-2</v>
      </c>
      <c r="K35" s="135">
        <f ca="1">IFERROR(IF('KEY MEASURES'!K$33=0,"",'VISITOR NUMBERS'!K$30/'VISITOR NUMBERS'!$G$30-1),"")</f>
        <v>8.4853390983849586E-2</v>
      </c>
      <c r="L35" s="135">
        <f ca="1">IFERROR(IF('KEY MEASURES'!L$33=0,"",'VISITOR NUMBERS'!L$30/'VISITOR NUMBERS'!$G$30-1),"")</f>
        <v>9.4479019058500757E-2</v>
      </c>
      <c r="M35" s="135">
        <f ca="1">IFERROR(IF('KEY MEASURES'!M$33=0,"",'VISITOR NUMBERS'!M$30/'VISITOR NUMBERS'!$G$30-1),"")</f>
        <v>0.11124070495708227</v>
      </c>
      <c r="N35" s="135">
        <f ca="1">IFERROR(IF('KEY MEASURES'!N$33=0,"",'VISITOR NUMBERS'!N$30/'VISITOR NUMBERS'!$G$30-1),"")</f>
        <v>0.12902420633902478</v>
      </c>
      <c r="O35" s="135">
        <f ca="1">IFERROR(IF('KEY MEASURES'!O$33=0,"",'VISITOR NUMBERS'!O$30/'VISITOR NUMBERS'!$G$30-1),"")</f>
        <v>0.16194877787530326</v>
      </c>
      <c r="P35" s="135">
        <f ca="1">IFERROR(IF('KEY MEASURES'!P$33=0,"",'VISITOR NUMBERS'!P$30/'VISITOR NUMBERS'!$G$30-1),"")</f>
        <v>-0.54858623078045587</v>
      </c>
      <c r="Q35" s="135">
        <f ca="1">IFERROR(IF('KEY MEASURES'!Q$33=0,"",'VISITOR NUMBERS'!Q$30/'VISITOR NUMBERS'!$G$30-1),"")</f>
        <v>-0.10635184758385308</v>
      </c>
      <c r="R35" s="135">
        <f ca="1">IFERROR(IF('KEY MEASURES'!R$33=0,"",'VISITOR NUMBERS'!R$30/'VISITOR NUMBERS'!$G$30-1),"")</f>
        <v>0.15512705745922784</v>
      </c>
      <c r="S35" s="276"/>
      <c r="T35" s="276"/>
      <c r="U35" s="276"/>
      <c r="V35" s="276"/>
      <c r="W35" s="277"/>
      <c r="X35" s="278"/>
    </row>
    <row r="36" spans="4:24" ht="16.2" customHeight="1" thickTop="1" thickBot="1" x14ac:dyDescent="0.35">
      <c r="D36" s="196"/>
      <c r="E36" s="943" t="str">
        <f ca="1">PROPER('VISITOR DAYS'!$U$6)</f>
        <v>Visitor Days</v>
      </c>
      <c r="F36" s="944"/>
      <c r="G36" s="135">
        <f ca="1">IFERROR(IF('KEY MEASURES'!G$33=0,"",'VISITOR DAYS'!G$30/'VISITOR DAYS'!$G$30-1),"")</f>
        <v>0</v>
      </c>
      <c r="H36" s="135">
        <f ca="1">IFERROR(IF('KEY MEASURES'!H$33=0,"",'VISITOR DAYS'!H$30/'VISITOR DAYS'!$G$30-1),"")</f>
        <v>-3.0922108733495546E-2</v>
      </c>
      <c r="I36" s="135">
        <f ca="1">IFERROR(IF('KEY MEASURES'!I$33=0,"",'VISITOR DAYS'!I$30/'VISITOR DAYS'!$G$30-1),"")</f>
        <v>1.4364757199772926E-2</v>
      </c>
      <c r="J36" s="135">
        <f ca="1">IFERROR(IF('KEY MEASURES'!J$33=0,"",'VISITOR DAYS'!J$30/'VISITOR DAYS'!$G$30-1),"")</f>
        <v>3.1976302330827489E-2</v>
      </c>
      <c r="K36" s="135">
        <f ca="1">IFERROR(IF('KEY MEASURES'!K$33=0,"",'VISITOR DAYS'!K$30/'VISITOR DAYS'!$G$30-1),"")</f>
        <v>5.8491658257464163E-2</v>
      </c>
      <c r="L36" s="135">
        <f ca="1">IFERROR(IF('KEY MEASURES'!L$33=0,"",'VISITOR DAYS'!L$30/'VISITOR DAYS'!$G$30-1),"")</f>
        <v>7.2121673978748024E-2</v>
      </c>
      <c r="M36" s="135">
        <f ca="1">IFERROR(IF('KEY MEASURES'!M$33=0,"",'VISITOR DAYS'!M$30/'VISITOR DAYS'!$G$30-1),"")</f>
        <v>0.10544311505068871</v>
      </c>
      <c r="N36" s="135">
        <f ca="1">IFERROR(IF('KEY MEASURES'!N$33=0,"",'VISITOR DAYS'!N$30/'VISITOR DAYS'!$G$30-1),"")</f>
        <v>0.12567540131869337</v>
      </c>
      <c r="O36" s="135">
        <f ca="1">IFERROR(IF('KEY MEASURES'!O$33=0,"",'VISITOR DAYS'!O$30/'VISITOR DAYS'!$G$30-1),"")</f>
        <v>0.15954267052716431</v>
      </c>
      <c r="P36" s="135">
        <f ca="1">IFERROR(IF('KEY MEASURES'!P$33=0,"",'VISITOR DAYS'!P$30/'VISITOR DAYS'!$G$30-1),"")</f>
        <v>-0.56890593746253537</v>
      </c>
      <c r="Q36" s="135">
        <f ca="1">IFERROR(IF('KEY MEASURES'!Q$33=0,"",'VISITOR DAYS'!Q$30/'VISITOR DAYS'!$G$30-1),"")</f>
        <v>-0.12361375274466013</v>
      </c>
      <c r="R36" s="135">
        <f ca="1">IFERROR(IF('KEY MEASURES'!R$33=0,"",'VISITOR DAYS'!R$30/'VISITOR DAYS'!$G$30-1),"")</f>
        <v>0.1596416995816905</v>
      </c>
      <c r="S36" s="276"/>
      <c r="T36" s="276"/>
      <c r="U36" s="276"/>
      <c r="V36" s="276"/>
      <c r="W36" s="277"/>
      <c r="X36" s="278"/>
    </row>
    <row r="37" spans="4:24" ht="16.2" customHeight="1" thickTop="1" thickBot="1" x14ac:dyDescent="0.35">
      <c r="D37" s="196"/>
      <c r="E37" s="925" t="str">
        <f ca="1">PROPER(EMPLOYMENT!$U$6)</f>
        <v>Total Employment</v>
      </c>
      <c r="F37" s="926"/>
      <c r="G37" s="135">
        <f ca="1">IFERROR(IF('KEY MEASURES'!G$33=0,"",EMPLOYMENT!G$30/EMPLOYMENT!$G$30-1),"")</f>
        <v>0</v>
      </c>
      <c r="H37" s="135">
        <f ca="1">IFERROR(IF('KEY MEASURES'!H$33=0,"",EMPLOYMENT!H$30/EMPLOYMENT!$G$30-1),"")</f>
        <v>-3.2197203632551852E-2</v>
      </c>
      <c r="I37" s="135">
        <f ca="1">IFERROR(IF('KEY MEASURES'!I$33=0,"",EMPLOYMENT!I$30/EMPLOYMENT!$G$30-1),"")</f>
        <v>1.7410712740563605E-2</v>
      </c>
      <c r="J37" s="135">
        <f ca="1">IFERROR(IF('KEY MEASURES'!J$33=0,"",EMPLOYMENT!J$30/EMPLOYMENT!$G$30-1),"")</f>
        <v>-4.0759338569627102E-2</v>
      </c>
      <c r="K37" s="135">
        <f ca="1">IFERROR(IF('KEY MEASURES'!K$33=0,"",EMPLOYMENT!K$30/EMPLOYMENT!$G$30-1),"")</f>
        <v>8.3984853332317311E-3</v>
      </c>
      <c r="L37" s="135">
        <f ca="1">IFERROR(IF('KEY MEASURES'!L$33=0,"",EMPLOYMENT!L$30/EMPLOYMENT!$G$30-1),"")</f>
        <v>2.0507494471610599E-2</v>
      </c>
      <c r="M37" s="135">
        <f ca="1">IFERROR(IF('KEY MEASURES'!M$33=0,"",EMPLOYMENT!M$30/EMPLOYMENT!$G$30-1),"")</f>
        <v>2.916683288141253E-2</v>
      </c>
      <c r="N37" s="135">
        <f ca="1">IFERROR(IF('KEY MEASURES'!N$33=0,"",EMPLOYMENT!N$30/EMPLOYMENT!$G$30-1),"")</f>
        <v>6.0714601422892756E-2</v>
      </c>
      <c r="O37" s="135">
        <f ca="1">IFERROR(IF('KEY MEASURES'!O$33=0,"",EMPLOYMENT!O$30/EMPLOYMENT!$G$30-1),"")</f>
        <v>0.11817249835316423</v>
      </c>
      <c r="P37" s="135">
        <f ca="1">IFERROR(IF('KEY MEASURES'!P$33=0,"",EMPLOYMENT!P$30/EMPLOYMENT!$G$30-1),"")</f>
        <v>-0.46754039125685654</v>
      </c>
      <c r="Q37" s="135">
        <f ca="1">IFERROR(IF('KEY MEASURES'!Q$33=0,"",EMPLOYMENT!Q$30/EMPLOYMENT!$G$30-1),"")</f>
        <v>-0.15195311648202459</v>
      </c>
      <c r="R37" s="135">
        <f ca="1">IFERROR(IF('KEY MEASURES'!R$33=0,"",EMPLOYMENT!R$30/EMPLOYMENT!$G$30-1),"")</f>
        <v>7.9860699715991412E-2</v>
      </c>
      <c r="S37" s="276"/>
      <c r="T37" s="276"/>
      <c r="U37" s="276"/>
      <c r="V37" s="276"/>
      <c r="W37" s="277"/>
      <c r="X37" s="278"/>
    </row>
    <row r="38" spans="4:24"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g8OZbApD/jTylum2KD0Qa9M60TvDdpuDcf/1citb2vlHsFq1vVky+/8HxsGT2bab6T+FrWaVfxsNU4dYPfJ7kQ==" saltValue="QckBHtDBAlUVKyTXW3AQHw==" spinCount="100000" sheet="1" objects="1" scenarios="1"/>
  <mergeCells count="18">
    <mergeCell ref="E9:N9"/>
    <mergeCell ref="O8:X8"/>
    <mergeCell ref="O9:X9"/>
    <mergeCell ref="S6:T7"/>
    <mergeCell ref="U6:X7"/>
    <mergeCell ref="O6:R6"/>
    <mergeCell ref="O7:R7"/>
    <mergeCell ref="E8:N8"/>
    <mergeCell ref="E37:F37"/>
    <mergeCell ref="E20:N20"/>
    <mergeCell ref="E21:N21"/>
    <mergeCell ref="O20:X20"/>
    <mergeCell ref="O21:X21"/>
    <mergeCell ref="T33:X34"/>
    <mergeCell ref="E33:F33"/>
    <mergeCell ref="E34:F34"/>
    <mergeCell ref="E35:F35"/>
    <mergeCell ref="E36:F36"/>
  </mergeCells>
  <conditionalFormatting sqref="E34:E37">
    <cfRule type="expression" dxfId="160" priority="17">
      <formula>E34=0</formula>
    </cfRule>
  </conditionalFormatting>
  <conditionalFormatting sqref="G34:R37">
    <cfRule type="expression" dxfId="159" priority="7" stopIfTrue="1">
      <formula>OR(G$33=0,G34="")</formula>
    </cfRule>
    <cfRule type="cellIs" dxfId="158" priority="8" operator="lessThanOrEqual">
      <formula>-REP.percenthighlight</formula>
    </cfRule>
    <cfRule type="cellIs" dxfId="157" priority="9" operator="greaterThanOrEqual">
      <formula>REP.percenthighlight</formula>
    </cfRule>
  </conditionalFormatting>
  <conditionalFormatting sqref="I33:R33">
    <cfRule type="expression" dxfId="156" priority="16">
      <formula>I33=0</formula>
    </cfRule>
  </conditionalFormatting>
  <conditionalFormatting sqref="S6:T7">
    <cfRule type="expression" dxfId="155" priority="1">
      <formula>TYPE.no=6</formula>
    </cfRule>
    <cfRule type="expression" dxfId="154" priority="2">
      <formula>TYPE.no=5</formula>
    </cfRule>
    <cfRule type="expression" dxfId="153" priority="3">
      <formula>TYPE.no=4</formula>
    </cfRule>
    <cfRule type="expression" dxfId="152" priority="4">
      <formula>TYPE.no=3</formula>
    </cfRule>
    <cfRule type="expression" dxfId="151" priority="5">
      <formula>TYPE.no=2</formula>
    </cfRule>
    <cfRule type="expression" dxfId="150" priority="6">
      <formula>TYPE.no=1</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9266" r:id="rId4" name="Drop Down 2">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39267" r:id="rId5" name="Drop Down 3">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mc:AlternateContent xmlns:mc="http://schemas.openxmlformats.org/markup-compatibility/2006">
          <mc:Choice Requires="x14">
            <control shapeId="139270" r:id="rId6" name="Drop Down 6">
              <controlPr defaultSize="0" autoLine="0" autoPict="0">
                <anchor moveWithCells="1">
                  <from>
                    <xdr:col>21</xdr:col>
                    <xdr:colOff>198120</xdr:colOff>
                    <xdr:row>4</xdr:row>
                    <xdr:rowOff>22860</xdr:rowOff>
                  </from>
                  <to>
                    <xdr:col>22</xdr:col>
                    <xdr:colOff>289560</xdr:colOff>
                    <xdr:row>4</xdr:row>
                    <xdr:rowOff>289560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Output08">
    <tabColor theme="7" tint="-0.499984740745262"/>
    <outlinePr showOutlineSymbols="0"/>
    <pageSetUpPr autoPageBreaks="0" fitToPage="1"/>
  </sheetPr>
  <dimension ref="A1:AD83"/>
  <sheetViews>
    <sheetView showGridLines="0" showRowColHeaders="0" showZeros="0" showOutlineSymbols="0" topLeftCell="A2" zoomScaleNormal="100" workbookViewId="0">
      <pane ySplit="6" topLeftCell="A8" activePane="bottomLeft" state="frozen"/>
      <selection activeCell="M48" sqref="M48"/>
      <selection pane="bottomLeft" activeCell="G80" sqref="G80"/>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4" ht="16.2" hidden="1" customHeight="1" thickTop="1" thickBot="1" x14ac:dyDescent="0.35">
      <c r="A1" s="110" t="str">
        <f ca="1">MID(CELL("filename",A1),FIND("]",CELL("filename",A1))+1,255)</f>
        <v>VISITOR TYPE DISTRIBUTION</v>
      </c>
      <c r="E1" s="113"/>
      <c r="F1" s="114"/>
      <c r="G1" s="114"/>
      <c r="H1" s="114"/>
      <c r="I1" s="114"/>
      <c r="J1" s="114"/>
      <c r="K1" s="114"/>
      <c r="L1" s="114"/>
      <c r="M1" s="114"/>
      <c r="N1" s="114"/>
      <c r="O1" s="114"/>
      <c r="P1" s="114"/>
      <c r="Q1" s="114"/>
      <c r="R1" s="114"/>
      <c r="S1" s="114"/>
      <c r="T1" s="114"/>
      <c r="U1" s="114"/>
      <c r="V1" s="114"/>
      <c r="W1" s="114"/>
      <c r="X1" s="115"/>
    </row>
    <row r="2" spans="1:24"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4" ht="26.4" customHeight="1" x14ac:dyDescent="0.3">
      <c r="E3" s="119"/>
      <c r="F3" s="120"/>
      <c r="G3" s="120"/>
      <c r="H3" s="120"/>
      <c r="I3" s="120"/>
      <c r="J3" s="120"/>
      <c r="K3" s="120"/>
      <c r="L3" s="120"/>
      <c r="M3" s="120"/>
      <c r="N3" s="120"/>
      <c r="O3" s="120"/>
      <c r="P3" s="120"/>
      <c r="Q3" s="120"/>
      <c r="R3" s="120"/>
      <c r="S3" s="120"/>
      <c r="T3" s="120"/>
      <c r="U3" s="120"/>
      <c r="V3" s="120"/>
      <c r="W3" s="120"/>
      <c r="X3" s="121"/>
    </row>
    <row r="4" spans="1:24" ht="26.4" customHeight="1" x14ac:dyDescent="0.3">
      <c r="E4" s="204"/>
      <c r="F4" s="205"/>
      <c r="G4" s="205"/>
      <c r="H4" s="205"/>
      <c r="I4" s="205"/>
      <c r="J4" s="205"/>
      <c r="K4" s="205"/>
      <c r="L4" s="205"/>
      <c r="M4" s="205"/>
      <c r="N4" s="205"/>
      <c r="O4" s="205"/>
      <c r="P4" s="205"/>
      <c r="Q4" s="205"/>
      <c r="R4" s="205"/>
      <c r="S4" s="205"/>
      <c r="T4" s="205"/>
      <c r="U4" s="205"/>
      <c r="V4" s="205"/>
      <c r="W4" s="205"/>
      <c r="X4" s="206"/>
    </row>
    <row r="5" spans="1:24" ht="26.4" customHeight="1" thickBot="1" x14ac:dyDescent="0.35">
      <c r="E5" s="207"/>
      <c r="F5" s="208"/>
      <c r="G5" s="208"/>
      <c r="H5" s="208"/>
      <c r="I5" s="208"/>
      <c r="J5" s="208"/>
      <c r="K5" s="208"/>
      <c r="L5" s="208"/>
      <c r="M5" s="406" t="str">
        <f>"INDEXATION TO "&amp;MAX(REP.yearsrange)&amp;" PRICES"</f>
        <v>INDEXATION TO 2022 PRICES</v>
      </c>
      <c r="N5" s="208"/>
      <c r="O5" s="208"/>
      <c r="P5" s="208"/>
      <c r="Q5" s="208"/>
      <c r="R5" s="208"/>
      <c r="S5" s="208"/>
      <c r="T5" s="208"/>
      <c r="U5" s="208"/>
      <c r="V5" s="208"/>
      <c r="W5" s="208"/>
      <c r="X5" s="209"/>
    </row>
    <row r="6" spans="1:24" ht="16.2" customHeight="1" thickTop="1" x14ac:dyDescent="0.3">
      <c r="E6" s="449" t="str">
        <f>REP.title1</f>
        <v>STEAM FINAL TREND REPORT FOR 2011-2022</v>
      </c>
      <c r="F6" s="450"/>
      <c r="G6" s="450"/>
      <c r="H6" s="450"/>
      <c r="I6" s="450"/>
      <c r="J6" s="450"/>
      <c r="K6" s="450"/>
      <c r="L6" s="450"/>
      <c r="M6" s="450"/>
      <c r="N6" s="450"/>
      <c r="O6" s="958">
        <f>CHARTYEAR</f>
        <v>2022</v>
      </c>
      <c r="P6" s="959"/>
      <c r="Q6" s="959"/>
      <c r="R6" s="960"/>
      <c r="S6" s="964" t="str">
        <f>UPPER(TOTAL)</f>
        <v>TOTAL</v>
      </c>
      <c r="T6" s="965"/>
      <c r="U6" s="968" t="str">
        <f>IF(REP.indexed="YES","DISTRIBUTION BY VISITOR TYPE"&amp;CHAR(10)&amp;"Indexed","DISTRIBUTION BY VISITOR TYPE"&amp;CHAR(10)&amp;"Historic Prices")</f>
        <v>DISTRIBUTION BY VISITOR TYPE
Historic Prices</v>
      </c>
      <c r="V6" s="969"/>
      <c r="W6" s="969"/>
      <c r="X6" s="970"/>
    </row>
    <row r="7" spans="1:24" ht="16.2" customHeight="1" thickBot="1" x14ac:dyDescent="0.35">
      <c r="E7" s="451" t="str">
        <f>REP.title2</f>
        <v>NORTH WALES</v>
      </c>
      <c r="F7" s="452"/>
      <c r="G7" s="452"/>
      <c r="H7" s="452"/>
      <c r="I7" s="453"/>
      <c r="J7" s="453"/>
      <c r="K7" s="453"/>
      <c r="L7" s="453"/>
      <c r="M7" s="453"/>
      <c r="N7" s="453"/>
      <c r="O7" s="961" t="str">
        <f>IF(REP.indexed="YES",MAX(REP.yearsrange)&amp;" Prices","Historic Prices")</f>
        <v>Historic Prices</v>
      </c>
      <c r="P7" s="962"/>
      <c r="Q7" s="962"/>
      <c r="R7" s="963"/>
      <c r="S7" s="966"/>
      <c r="T7" s="967"/>
      <c r="U7" s="971"/>
      <c r="V7" s="972"/>
      <c r="W7" s="972"/>
      <c r="X7" s="973"/>
    </row>
    <row r="8" spans="1:24" ht="16.2" customHeight="1" thickTop="1" thickBot="1" x14ac:dyDescent="0.35">
      <c r="E8" s="876" t="str">
        <f>IF(REP.indexed="YES","ECONOMIC IMPACT - "&amp;CHARTYEAR&amp;" Indexed - £M","Economic Impact - Historic Prices - £M")&amp;" - Share of Total"</f>
        <v>Economic Impact - Historic Prices - £M - Share of Total</v>
      </c>
      <c r="F8" s="877"/>
      <c r="G8" s="877"/>
      <c r="H8" s="877"/>
      <c r="I8" s="877"/>
      <c r="J8" s="877"/>
      <c r="K8" s="877"/>
      <c r="L8" s="877"/>
      <c r="M8" s="877"/>
      <c r="N8" s="877"/>
      <c r="O8" s="945" t="str">
        <f ca="1">PROPER('VISITOR NUMBERS'!$U$6)&amp;" - "&amp;CHARTYEAR&amp;" - M - Share of Total"</f>
        <v>Visitor Numbers - 2022 - M - Share of Total</v>
      </c>
      <c r="P8" s="946"/>
      <c r="Q8" s="946"/>
      <c r="R8" s="946"/>
      <c r="S8" s="946"/>
      <c r="T8" s="946"/>
      <c r="U8" s="946"/>
      <c r="V8" s="946"/>
      <c r="W8" s="946"/>
      <c r="X8" s="947"/>
    </row>
    <row r="9" spans="1:24" s="125" customFormat="1" ht="16.2" customHeight="1" thickTop="1" x14ac:dyDescent="0.3">
      <c r="E9" s="494"/>
      <c r="F9" s="495"/>
      <c r="G9" s="496" t="s">
        <v>143</v>
      </c>
      <c r="H9" s="495" t="s">
        <v>171</v>
      </c>
      <c r="I9" s="495" t="s">
        <v>172</v>
      </c>
      <c r="J9" s="495" t="s">
        <v>55</v>
      </c>
      <c r="K9" s="495"/>
      <c r="L9" s="495"/>
      <c r="M9" s="495"/>
      <c r="N9" s="497"/>
      <c r="O9" s="498"/>
      <c r="P9" s="495"/>
      <c r="Q9" s="495"/>
      <c r="R9" s="495"/>
      <c r="S9" s="495"/>
      <c r="T9" s="495"/>
      <c r="U9" s="495"/>
      <c r="V9" s="495"/>
      <c r="W9" s="495"/>
      <c r="X9" s="497"/>
    </row>
    <row r="10" spans="1:24" s="125" customFormat="1" ht="16.2" customHeight="1" x14ac:dyDescent="0.3">
      <c r="E10" s="499" t="str">
        <f t="array" ref="E10:E14">INDEX(TYPE.choices,{5;6;2;3;4})</f>
        <v>Staying Visitor</v>
      </c>
      <c r="F10" s="500"/>
      <c r="G10" s="501">
        <f>SUM(G12:G14)</f>
        <v>3157884.1556823147</v>
      </c>
      <c r="H10" s="501">
        <f t="shared" ref="H10:J10" si="0">SUM(H12:H14)</f>
        <v>49807.948413903767</v>
      </c>
      <c r="I10" s="501">
        <f t="shared" si="0"/>
        <v>10794.127898042447</v>
      </c>
      <c r="J10" s="501">
        <f t="shared" si="0"/>
        <v>28469.894060000817</v>
      </c>
      <c r="K10" s="500"/>
      <c r="L10" s="500"/>
      <c r="M10" s="500"/>
      <c r="N10" s="502"/>
      <c r="O10" s="503"/>
      <c r="P10" s="500"/>
      <c r="Q10" s="500"/>
      <c r="R10" s="500"/>
      <c r="S10" s="504"/>
      <c r="T10" s="504"/>
      <c r="U10" s="500"/>
      <c r="V10" s="500"/>
      <c r="W10" s="500"/>
      <c r="X10" s="502"/>
    </row>
    <row r="11" spans="1:24" s="125" customFormat="1" ht="16.2" customHeight="1" x14ac:dyDescent="0.3">
      <c r="E11" s="499" t="str">
        <v>Day Visitor</v>
      </c>
      <c r="F11" s="500"/>
      <c r="G11" s="501">
        <f>VLOOKUP(CHARTYEAR&amp;"."&amp;"ECONOMIC IMPACT"&amp;"."&amp;$E11,REP.data,18,FALSE)*INDEX(REP.indexationfactors,(MATCH(CHARTYEAR,REP.yearsrange,0)))</f>
        <v>1000249.6053959068</v>
      </c>
      <c r="H11" s="501">
        <f>VLOOKUP(CHARTYEAR&amp;"."&amp;H$9&amp;"."&amp;$E11,REP.data,18,FALSE)</f>
        <v>20170.275896438143</v>
      </c>
      <c r="I11" s="501">
        <f>VLOOKUP(CHARTYEAR&amp;"."&amp;I$9&amp;"."&amp;$E11,REP.data,18,FALSE)</f>
        <v>20170.275896438143</v>
      </c>
      <c r="J11" s="501">
        <f>VLOOKUP(CHARTYEAR&amp;"."&amp;"Employment"&amp;"."&amp;$E11,REP.data,18,FALSE)</f>
        <v>7595.3369263972563</v>
      </c>
      <c r="K11" s="500"/>
      <c r="L11" s="500"/>
      <c r="M11" s="504"/>
      <c r="N11" s="505"/>
      <c r="O11" s="506"/>
      <c r="P11" s="504"/>
      <c r="Q11" s="504"/>
      <c r="R11" s="504"/>
      <c r="S11" s="504"/>
      <c r="T11" s="504"/>
      <c r="U11" s="500"/>
      <c r="V11" s="500"/>
      <c r="W11" s="500"/>
      <c r="X11" s="502"/>
    </row>
    <row r="12" spans="1:24" ht="16.2" customHeight="1" x14ac:dyDescent="0.3">
      <c r="E12" s="507" t="str">
        <v>Serviced Accommodation</v>
      </c>
      <c r="F12" s="508"/>
      <c r="G12" s="501">
        <f>VLOOKUP(CHARTYEAR&amp;"."&amp;"ECONOMIC IMPACT"&amp;"."&amp;$E12,REP.data,18,FALSE)*INDEX(REP.indexationfactors,(MATCH(CHARTYEAR,REP.yearsrange,0)))</f>
        <v>625004.61291611183</v>
      </c>
      <c r="H12" s="501">
        <f>VLOOKUP(CHARTYEAR&amp;"."&amp;H$9&amp;"."&amp;$E12,REP.data,18,FALSE)</f>
        <v>4910.9867494059481</v>
      </c>
      <c r="I12" s="501">
        <f>VLOOKUP(CHARTYEAR&amp;"."&amp;I$9&amp;"."&amp;$E12,REP.data,18,FALSE)</f>
        <v>2768.8969327062391</v>
      </c>
      <c r="J12" s="501">
        <f>VLOOKUP(CHARTYEAR&amp;"."&amp;"Employment"&amp;"."&amp;$E12,REP.data,18,FALSE)</f>
        <v>7121.6929929497937</v>
      </c>
      <c r="K12" s="509"/>
      <c r="L12" s="509"/>
      <c r="M12" s="509"/>
      <c r="N12" s="510"/>
      <c r="O12" s="511"/>
      <c r="P12" s="509"/>
      <c r="Q12" s="509"/>
      <c r="R12" s="509"/>
      <c r="S12" s="504"/>
      <c r="T12" s="504"/>
      <c r="U12" s="512"/>
      <c r="V12" s="512"/>
      <c r="W12" s="512"/>
      <c r="X12" s="513"/>
    </row>
    <row r="13" spans="1:24" ht="16.2" customHeight="1" x14ac:dyDescent="0.3">
      <c r="E13" s="499" t="str">
        <v>Non-Serviced Accommodation</v>
      </c>
      <c r="F13" s="500"/>
      <c r="G13" s="501">
        <f>VLOOKUP(CHARTYEAR&amp;"."&amp;"ECONOMIC IMPACT"&amp;"."&amp;$E13,REP.data,18,FALSE)*INDEX(REP.indexationfactors,(MATCH(CHARTYEAR,REP.yearsrange,0)))</f>
        <v>2414739.8798773531</v>
      </c>
      <c r="H13" s="501">
        <f>VLOOKUP(CHARTYEAR&amp;"."&amp;H$9&amp;"."&amp;$E13,REP.data,18,FALSE)</f>
        <v>42370.575400739632</v>
      </c>
      <c r="I13" s="501">
        <f>VLOOKUP(CHARTYEAR&amp;"."&amp;I$9&amp;"."&amp;$E13,REP.data,18,FALSE)</f>
        <v>6964.0393360634798</v>
      </c>
      <c r="J13" s="501">
        <f>VLOOKUP(CHARTYEAR&amp;"."&amp;"Employment"&amp;"."&amp;$E13,REP.data,18,FALSE)</f>
        <v>20380.186823764878</v>
      </c>
      <c r="K13" s="512"/>
      <c r="L13" s="512"/>
      <c r="M13" s="512"/>
      <c r="N13" s="513"/>
      <c r="O13" s="514"/>
      <c r="P13" s="512"/>
      <c r="Q13" s="512"/>
      <c r="R13" s="512"/>
      <c r="S13" s="512"/>
      <c r="T13" s="515"/>
      <c r="U13" s="512"/>
      <c r="V13" s="512"/>
      <c r="W13" s="512"/>
      <c r="X13" s="513"/>
    </row>
    <row r="14" spans="1:24" ht="16.2" customHeight="1" x14ac:dyDescent="0.3">
      <c r="E14" s="516" t="str">
        <v>SFR</v>
      </c>
      <c r="F14" s="509"/>
      <c r="G14" s="501">
        <f>VLOOKUP(CHARTYEAR&amp;"."&amp;"ECONOMIC IMPACT"&amp;"."&amp;$E14,REP.data,18,FALSE)*INDEX(REP.indexationfactors,(MATCH(CHARTYEAR,REP.yearsrange,0)))</f>
        <v>118139.66288884974</v>
      </c>
      <c r="H14" s="501">
        <f>VLOOKUP(CHARTYEAR&amp;"."&amp;H$9&amp;"."&amp;$E14,REP.data,18,FALSE)</f>
        <v>2526.3862637581819</v>
      </c>
      <c r="I14" s="501">
        <f>VLOOKUP(CHARTYEAR&amp;"."&amp;I$9&amp;"."&amp;$E14,REP.data,18,FALSE)</f>
        <v>1061.1916292727274</v>
      </c>
      <c r="J14" s="501">
        <f>VLOOKUP(CHARTYEAR&amp;"."&amp;"Employment"&amp;"."&amp;$E14,REP.data,18,FALSE)</f>
        <v>968.01424328614519</v>
      </c>
      <c r="K14" s="512"/>
      <c r="L14" s="512"/>
      <c r="M14" s="512"/>
      <c r="N14" s="513"/>
      <c r="O14" s="514"/>
      <c r="P14" s="512"/>
      <c r="Q14" s="512"/>
      <c r="R14" s="512"/>
      <c r="S14" s="512"/>
      <c r="T14" s="515"/>
      <c r="U14" s="512"/>
      <c r="V14" s="512"/>
      <c r="W14" s="512"/>
      <c r="X14" s="513"/>
    </row>
    <row r="15" spans="1:24" ht="16.2" customHeight="1" x14ac:dyDescent="0.3">
      <c r="E15" s="516" t="str">
        <f>E11</f>
        <v>Day Visitor</v>
      </c>
      <c r="F15" s="509"/>
      <c r="G15" s="501">
        <f>VLOOKUP(CHARTYEAR&amp;"."&amp;"ECONOMIC IMPACT"&amp;"."&amp;$E15,REP.data,18,FALSE)*INDEX(REP.indexationfactors,(MATCH(CHARTYEAR,REP.yearsrange,0)))</f>
        <v>1000249.6053959068</v>
      </c>
      <c r="H15" s="501">
        <f>VLOOKUP(CHARTYEAR&amp;"."&amp;H$9&amp;"."&amp;$E15,REP.data,18,FALSE)</f>
        <v>20170.275896438143</v>
      </c>
      <c r="I15" s="501">
        <f>VLOOKUP(CHARTYEAR&amp;"."&amp;I$9&amp;"."&amp;$E15,REP.data,18,FALSE)</f>
        <v>20170.275896438143</v>
      </c>
      <c r="J15" s="501">
        <f>VLOOKUP(CHARTYEAR&amp;"."&amp;"Employment"&amp;"."&amp;$E15,REP.data,18,FALSE)</f>
        <v>7595.3369263972563</v>
      </c>
      <c r="K15" s="512"/>
      <c r="L15" s="512"/>
      <c r="M15" s="512"/>
      <c r="N15" s="513"/>
      <c r="O15" s="514"/>
      <c r="P15" s="512"/>
      <c r="Q15" s="512"/>
      <c r="R15" s="512"/>
      <c r="S15" s="512"/>
      <c r="T15" s="515"/>
      <c r="U15" s="512"/>
      <c r="V15" s="512"/>
      <c r="W15" s="512"/>
      <c r="X15" s="513"/>
    </row>
    <row r="16" spans="1:24" ht="16.2" customHeight="1" thickBot="1" x14ac:dyDescent="0.35">
      <c r="E16" s="517"/>
      <c r="F16" s="518"/>
      <c r="G16" s="518"/>
      <c r="H16" s="518"/>
      <c r="I16" s="518"/>
      <c r="J16" s="518"/>
      <c r="K16" s="518"/>
      <c r="L16" s="518"/>
      <c r="M16" s="518"/>
      <c r="N16" s="519"/>
      <c r="O16" s="520"/>
      <c r="P16" s="518"/>
      <c r="Q16" s="518"/>
      <c r="R16" s="518"/>
      <c r="S16" s="518"/>
      <c r="T16" s="518"/>
      <c r="U16" s="518"/>
      <c r="V16" s="518"/>
      <c r="W16" s="518"/>
      <c r="X16" s="519"/>
    </row>
    <row r="17" spans="4:24" ht="16.2" customHeight="1" thickTop="1" x14ac:dyDescent="0.3">
      <c r="E17" s="499"/>
      <c r="F17" s="500"/>
      <c r="G17" s="521" t="str">
        <f>"TOTAL"&amp;CHAR(10)&amp;"£"&amp;TEXT(SUM(G12:G15),"#,##0.00,")&amp;"m"</f>
        <v>TOTAL
£4,158.13m</v>
      </c>
      <c r="H17" s="521" t="str">
        <f>"TOTAL"&amp;CHAR(10)&amp;TEXT(SUM(H12:H15),"#,##0.00,")&amp;"m"</f>
        <v>TOTAL
69.98m</v>
      </c>
      <c r="I17" s="521" t="str">
        <f>"TOTAL"&amp;CHAR(10)&amp;TEXT(SUM(I12:I15),"#,##0.00,")&amp;"m"</f>
        <v>TOTAL
30.96m</v>
      </c>
      <c r="J17" s="521" t="str">
        <f>"TOTAL"&amp;CHAR(10)&amp;TEXT(SUM(J12:J15),"#,##0")&amp;" Direct FTEs"&amp;CHAR(10)&amp;TEXT(VLOOKUP(CHARTYEAR&amp;"."&amp;"Employment"&amp;"."&amp;TOTAL,REP.data,18,FALSE),"#,##0")&amp;" Total FTEs"</f>
        <v>TOTAL
36,065 Direct FTEs
45,201 Total FTEs</v>
      </c>
      <c r="K17" s="512"/>
      <c r="L17" s="512"/>
      <c r="M17" s="512"/>
      <c r="N17" s="513"/>
      <c r="O17" s="514"/>
      <c r="P17" s="512"/>
      <c r="Q17" s="512"/>
      <c r="R17" s="512"/>
      <c r="S17" s="512"/>
      <c r="T17" s="515"/>
      <c r="U17" s="512"/>
      <c r="V17" s="512"/>
      <c r="W17" s="512"/>
      <c r="X17" s="513"/>
    </row>
    <row r="18" spans="4:24" ht="16.2" customHeight="1" x14ac:dyDescent="0.3">
      <c r="E18" s="516"/>
      <c r="F18" s="509"/>
      <c r="G18" s="522"/>
      <c r="H18" s="522"/>
      <c r="I18" s="522"/>
      <c r="J18" s="522"/>
      <c r="K18" s="522"/>
      <c r="L18" s="522"/>
      <c r="M18" s="522"/>
      <c r="N18" s="523"/>
      <c r="O18" s="524"/>
      <c r="P18" s="522"/>
      <c r="Q18" s="522"/>
      <c r="R18" s="522"/>
      <c r="S18" s="522"/>
      <c r="T18" s="512"/>
      <c r="U18" s="522"/>
      <c r="V18" s="522"/>
      <c r="W18" s="522"/>
      <c r="X18" s="523"/>
    </row>
    <row r="19" spans="4:24" ht="16.2" customHeight="1" x14ac:dyDescent="0.3">
      <c r="E19" s="516"/>
      <c r="F19" s="509"/>
      <c r="G19" s="522"/>
      <c r="H19" s="522"/>
      <c r="I19" s="522"/>
      <c r="J19" s="522"/>
      <c r="K19" s="522"/>
      <c r="L19" s="522"/>
      <c r="M19" s="522"/>
      <c r="N19" s="523"/>
      <c r="O19" s="524"/>
      <c r="P19" s="522"/>
      <c r="Q19" s="522"/>
      <c r="R19" s="522"/>
      <c r="S19" s="522"/>
      <c r="T19" s="512"/>
      <c r="U19" s="522"/>
      <c r="V19" s="522"/>
      <c r="W19" s="522"/>
      <c r="X19" s="523"/>
    </row>
    <row r="20" spans="4:24" ht="16.2" customHeight="1" x14ac:dyDescent="0.3">
      <c r="E20" s="516"/>
      <c r="F20" s="509"/>
      <c r="G20" s="522"/>
      <c r="H20" s="522"/>
      <c r="I20" s="522"/>
      <c r="J20" s="522"/>
      <c r="K20" s="522"/>
      <c r="L20" s="522"/>
      <c r="M20" s="522"/>
      <c r="N20" s="523"/>
      <c r="O20" s="524"/>
      <c r="P20" s="522"/>
      <c r="Q20" s="522"/>
      <c r="R20" s="522"/>
      <c r="S20" s="522"/>
      <c r="T20" s="512"/>
      <c r="U20" s="522"/>
      <c r="V20" s="522"/>
      <c r="W20" s="522"/>
      <c r="X20" s="523"/>
    </row>
    <row r="21" spans="4:24" ht="16.2" customHeight="1" x14ac:dyDescent="0.3">
      <c r="E21" s="507"/>
      <c r="F21" s="508"/>
      <c r="G21" s="508"/>
      <c r="H21" s="508"/>
      <c r="I21" s="508"/>
      <c r="J21" s="508"/>
      <c r="K21" s="508"/>
      <c r="L21" s="508"/>
      <c r="M21" s="508"/>
      <c r="N21" s="525"/>
      <c r="O21" s="526"/>
      <c r="P21" s="508"/>
      <c r="Q21" s="508"/>
      <c r="R21" s="508"/>
      <c r="S21" s="508"/>
      <c r="T21" s="508"/>
      <c r="U21" s="508"/>
      <c r="V21" s="508"/>
      <c r="W21" s="508"/>
      <c r="X21" s="525"/>
    </row>
    <row r="22" spans="4:24" ht="16.2" customHeight="1" thickBot="1" x14ac:dyDescent="0.35">
      <c r="E22" s="517"/>
      <c r="F22" s="518"/>
      <c r="G22" s="518"/>
      <c r="H22" s="518"/>
      <c r="I22" s="518"/>
      <c r="J22" s="518"/>
      <c r="K22" s="518"/>
      <c r="L22" s="518"/>
      <c r="M22" s="518"/>
      <c r="N22" s="519"/>
      <c r="O22" s="520"/>
      <c r="P22" s="518"/>
      <c r="Q22" s="518"/>
      <c r="R22" s="518"/>
      <c r="S22" s="518"/>
      <c r="T22" s="518"/>
      <c r="U22" s="518"/>
      <c r="V22" s="518"/>
      <c r="W22" s="518"/>
      <c r="X22" s="519"/>
    </row>
    <row r="23" spans="4:24" ht="16.2" customHeight="1" thickTop="1" thickBot="1" x14ac:dyDescent="0.35">
      <c r="E23" s="927" t="str">
        <f ca="1">PROPER('VISITOR DAYS'!$U$6)&amp;" - "&amp;CHARTYEAR&amp;" - M - Share of Total"</f>
        <v>Visitor Days - 2022 - M - Share of Total</v>
      </c>
      <c r="F23" s="928"/>
      <c r="G23" s="928"/>
      <c r="H23" s="928"/>
      <c r="I23" s="928"/>
      <c r="J23" s="928"/>
      <c r="K23" s="928"/>
      <c r="L23" s="928"/>
      <c r="M23" s="928"/>
      <c r="N23" s="928"/>
      <c r="O23" s="930" t="str">
        <f>"Direct Employment Supported - "&amp;CHARTYEAR&amp;" - FTEs - Share of Total"</f>
        <v>Direct Employment Supported - 2022 - FTEs - Share of Total</v>
      </c>
      <c r="P23" s="931"/>
      <c r="Q23" s="931"/>
      <c r="R23" s="931"/>
      <c r="S23" s="931"/>
      <c r="T23" s="931"/>
      <c r="U23" s="931"/>
      <c r="V23" s="931"/>
      <c r="W23" s="931"/>
      <c r="X23" s="932"/>
    </row>
    <row r="24" spans="4:24" ht="16.2" customHeight="1" thickTop="1" x14ac:dyDescent="0.3">
      <c r="E24" s="433"/>
      <c r="F24" s="434"/>
      <c r="G24" s="434"/>
      <c r="H24" s="434"/>
      <c r="I24" s="434"/>
      <c r="J24" s="434"/>
      <c r="K24" s="434"/>
      <c r="L24" s="434"/>
      <c r="M24" s="423"/>
      <c r="N24" s="424"/>
      <c r="O24" s="433"/>
      <c r="P24" s="434"/>
      <c r="Q24" s="434"/>
      <c r="R24" s="434"/>
      <c r="S24" s="434"/>
      <c r="T24" s="434"/>
      <c r="U24" s="434"/>
      <c r="V24" s="434"/>
      <c r="W24" s="423"/>
      <c r="X24" s="424"/>
    </row>
    <row r="25" spans="4:24" ht="16.2" customHeight="1" x14ac:dyDescent="0.3">
      <c r="E25" s="151"/>
      <c r="F25" s="152"/>
      <c r="G25" s="421"/>
      <c r="H25" s="421"/>
      <c r="I25" s="421"/>
      <c r="J25" s="421"/>
      <c r="K25" s="421"/>
      <c r="L25" s="421"/>
      <c r="M25" s="412"/>
      <c r="N25" s="428"/>
      <c r="O25" s="151"/>
      <c r="P25" s="152"/>
      <c r="Q25" s="421"/>
      <c r="R25" s="421"/>
      <c r="S25" s="421"/>
      <c r="T25" s="421"/>
      <c r="U25" s="421"/>
      <c r="V25" s="421"/>
      <c r="W25" s="412"/>
      <c r="X25" s="428"/>
    </row>
    <row r="26" spans="4:24" ht="16.2" customHeight="1" x14ac:dyDescent="0.3">
      <c r="E26" s="247"/>
      <c r="F26" s="248"/>
      <c r="G26" s="159"/>
      <c r="H26" s="159"/>
      <c r="I26" s="159"/>
      <c r="J26" s="159"/>
      <c r="K26" s="159"/>
      <c r="L26" s="159"/>
      <c r="M26" s="415"/>
      <c r="N26" s="422"/>
      <c r="O26" s="247"/>
      <c r="P26" s="248"/>
      <c r="Q26" s="159"/>
      <c r="R26" s="159"/>
      <c r="S26" s="159"/>
      <c r="T26" s="159"/>
      <c r="U26" s="159"/>
      <c r="V26" s="159"/>
      <c r="W26" s="415"/>
      <c r="X26" s="422"/>
    </row>
    <row r="27" spans="4:24" ht="16.2" customHeight="1" x14ac:dyDescent="0.3">
      <c r="E27" s="247"/>
      <c r="F27" s="248"/>
      <c r="G27" s="159"/>
      <c r="H27" s="159"/>
      <c r="I27" s="159"/>
      <c r="J27" s="159"/>
      <c r="K27" s="159"/>
      <c r="L27" s="159"/>
      <c r="M27" s="415"/>
      <c r="N27" s="422"/>
      <c r="O27" s="247"/>
      <c r="P27" s="248"/>
      <c r="Q27" s="159"/>
      <c r="R27" s="159"/>
      <c r="S27" s="159"/>
      <c r="T27" s="159"/>
      <c r="U27" s="159"/>
      <c r="V27" s="159"/>
      <c r="W27" s="415"/>
      <c r="X27" s="422"/>
    </row>
    <row r="28" spans="4:24" ht="16.2" customHeight="1" x14ac:dyDescent="0.3">
      <c r="D28" s="196"/>
      <c r="E28" s="247"/>
      <c r="F28" s="248"/>
      <c r="G28" s="159"/>
      <c r="H28" s="159"/>
      <c r="I28" s="159"/>
      <c r="J28" s="159"/>
      <c r="K28" s="159"/>
      <c r="L28" s="159"/>
      <c r="M28" s="415"/>
      <c r="N28" s="422"/>
      <c r="O28" s="247"/>
      <c r="P28" s="248"/>
      <c r="Q28" s="159"/>
      <c r="R28" s="159"/>
      <c r="S28" s="159"/>
      <c r="T28" s="159"/>
      <c r="U28" s="159"/>
      <c r="V28" s="159"/>
      <c r="W28" s="415"/>
      <c r="X28" s="422"/>
    </row>
    <row r="29" spans="4:24" ht="16.2" customHeight="1" x14ac:dyDescent="0.3">
      <c r="D29" s="196"/>
      <c r="E29" s="435"/>
      <c r="F29" s="412"/>
      <c r="G29" s="418"/>
      <c r="H29" s="418"/>
      <c r="I29" s="418"/>
      <c r="J29" s="418"/>
      <c r="K29" s="418"/>
      <c r="L29" s="418"/>
      <c r="M29" s="417"/>
      <c r="N29" s="419"/>
      <c r="O29" s="435"/>
      <c r="P29" s="412"/>
      <c r="Q29" s="418"/>
      <c r="R29" s="418"/>
      <c r="S29" s="418"/>
      <c r="T29" s="418"/>
      <c r="U29" s="418"/>
      <c r="V29" s="418"/>
      <c r="W29" s="417"/>
      <c r="X29" s="419"/>
    </row>
    <row r="30" spans="4:24" ht="16.2" customHeight="1" x14ac:dyDescent="0.3">
      <c r="D30" s="196"/>
      <c r="E30" s="435"/>
      <c r="F30" s="412"/>
      <c r="G30" s="418"/>
      <c r="H30" s="418"/>
      <c r="I30" s="418"/>
      <c r="J30" s="418"/>
      <c r="K30" s="418"/>
      <c r="L30" s="418"/>
      <c r="M30" s="417"/>
      <c r="N30" s="419"/>
      <c r="O30" s="435"/>
      <c r="P30" s="412"/>
      <c r="Q30" s="418"/>
      <c r="R30" s="418"/>
      <c r="S30" s="418"/>
      <c r="T30" s="418"/>
      <c r="U30" s="418"/>
      <c r="V30" s="418"/>
      <c r="W30" s="417"/>
      <c r="X30" s="419"/>
    </row>
    <row r="31" spans="4:24" ht="16.2" customHeight="1" x14ac:dyDescent="0.3">
      <c r="D31" s="196"/>
      <c r="E31" s="435"/>
      <c r="F31" s="412"/>
      <c r="G31" s="418"/>
      <c r="H31" s="418"/>
      <c r="I31" s="418"/>
      <c r="J31" s="418"/>
      <c r="K31" s="418"/>
      <c r="L31" s="418"/>
      <c r="M31" s="417"/>
      <c r="N31" s="419"/>
      <c r="O31" s="435"/>
      <c r="P31" s="412"/>
      <c r="Q31" s="418"/>
      <c r="R31" s="418"/>
      <c r="S31" s="418"/>
      <c r="T31" s="418"/>
      <c r="U31" s="418"/>
      <c r="V31" s="418"/>
      <c r="W31" s="417"/>
      <c r="X31" s="419"/>
    </row>
    <row r="32" spans="4:24" ht="16.2" customHeight="1" x14ac:dyDescent="0.3">
      <c r="D32" s="196"/>
      <c r="E32" s="435"/>
      <c r="F32" s="412"/>
      <c r="G32" s="418"/>
      <c r="H32" s="418"/>
      <c r="I32" s="418"/>
      <c r="J32" s="418"/>
      <c r="K32" s="418"/>
      <c r="L32" s="418"/>
      <c r="M32" s="417"/>
      <c r="N32" s="419"/>
      <c r="O32" s="435"/>
      <c r="P32" s="412"/>
      <c r="Q32" s="418"/>
      <c r="R32" s="418"/>
      <c r="S32" s="418"/>
      <c r="T32" s="418"/>
      <c r="U32" s="418"/>
      <c r="V32" s="418"/>
      <c r="W32" s="417"/>
      <c r="X32" s="419"/>
    </row>
    <row r="33" spans="1:30" ht="16.2" customHeight="1" x14ac:dyDescent="0.3">
      <c r="D33" s="196"/>
      <c r="E33" s="142"/>
      <c r="F33" s="143"/>
      <c r="G33" s="436"/>
      <c r="H33" s="436"/>
      <c r="I33" s="437"/>
      <c r="J33" s="437"/>
      <c r="K33" s="437"/>
      <c r="L33" s="437"/>
      <c r="M33" s="437"/>
      <c r="N33" s="438"/>
      <c r="O33" s="439"/>
      <c r="P33" s="437"/>
      <c r="Q33" s="437"/>
      <c r="R33" s="437"/>
      <c r="S33" s="418"/>
      <c r="T33" s="440"/>
      <c r="U33" s="440"/>
      <c r="V33" s="440"/>
      <c r="W33" s="440"/>
      <c r="X33" s="441"/>
    </row>
    <row r="34" spans="1:30" ht="16.2" customHeight="1" x14ac:dyDescent="0.3">
      <c r="D34" s="196"/>
      <c r="E34" s="442"/>
      <c r="F34" s="443"/>
      <c r="G34" s="159"/>
      <c r="H34" s="159"/>
      <c r="I34" s="159"/>
      <c r="J34" s="159"/>
      <c r="K34" s="159"/>
      <c r="L34" s="159"/>
      <c r="M34" s="159"/>
      <c r="N34" s="416"/>
      <c r="O34" s="420"/>
      <c r="P34" s="159"/>
      <c r="Q34" s="159"/>
      <c r="R34" s="159"/>
      <c r="S34" s="418"/>
      <c r="T34" s="440"/>
      <c r="U34" s="440"/>
      <c r="V34" s="440"/>
      <c r="W34" s="440"/>
      <c r="X34" s="441"/>
    </row>
    <row r="35" spans="1:30" ht="16.2" customHeight="1" x14ac:dyDescent="0.3">
      <c r="D35" s="196"/>
      <c r="E35" s="442"/>
      <c r="F35" s="443"/>
      <c r="G35" s="159"/>
      <c r="H35" s="159"/>
      <c r="I35" s="159"/>
      <c r="J35" s="159"/>
      <c r="K35" s="159"/>
      <c r="L35" s="159"/>
      <c r="M35" s="159"/>
      <c r="N35" s="416"/>
      <c r="O35" s="420"/>
      <c r="P35" s="159"/>
      <c r="Q35" s="159"/>
      <c r="R35" s="159"/>
      <c r="S35" s="418"/>
      <c r="T35" s="418"/>
      <c r="U35" s="418"/>
      <c r="V35" s="418"/>
      <c r="W35" s="417"/>
      <c r="X35" s="419"/>
    </row>
    <row r="36" spans="1:30" ht="16.2" customHeight="1" x14ac:dyDescent="0.3">
      <c r="D36" s="196"/>
      <c r="E36" s="442"/>
      <c r="F36" s="443"/>
      <c r="G36" s="159"/>
      <c r="H36" s="159"/>
      <c r="I36" s="159"/>
      <c r="J36" s="159"/>
      <c r="K36" s="159"/>
      <c r="L36" s="159"/>
      <c r="M36" s="159"/>
      <c r="N36" s="416"/>
      <c r="O36" s="420"/>
      <c r="P36" s="159"/>
      <c r="Q36" s="159"/>
      <c r="R36" s="159"/>
      <c r="S36" s="418"/>
      <c r="T36" s="418"/>
      <c r="U36" s="418"/>
      <c r="V36" s="418"/>
      <c r="W36" s="417"/>
      <c r="X36" s="419"/>
    </row>
    <row r="37" spans="1:30" s="174" customFormat="1" ht="16.2" customHeight="1" thickBot="1" x14ac:dyDescent="0.35">
      <c r="A37" s="111"/>
      <c r="B37" s="111"/>
      <c r="C37" s="111"/>
      <c r="D37" s="196"/>
      <c r="E37" s="444"/>
      <c r="F37" s="445"/>
      <c r="G37" s="446"/>
      <c r="H37" s="446"/>
      <c r="I37" s="446"/>
      <c r="J37" s="446"/>
      <c r="K37" s="446"/>
      <c r="L37" s="446"/>
      <c r="M37" s="446"/>
      <c r="N37" s="447"/>
      <c r="O37" s="448"/>
      <c r="P37" s="446"/>
      <c r="Q37" s="446"/>
      <c r="R37" s="446"/>
      <c r="S37" s="276"/>
      <c r="T37" s="276"/>
      <c r="U37" s="276"/>
      <c r="V37" s="276"/>
      <c r="W37" s="277"/>
      <c r="X37" s="278"/>
      <c r="Y37" s="111"/>
      <c r="Z37" s="111"/>
      <c r="AA37" s="111"/>
      <c r="AB37" s="111"/>
      <c r="AC37" s="111"/>
      <c r="AD37" s="111"/>
    </row>
    <row r="38" spans="1:30" ht="16.2" customHeight="1" thickTop="1" thickBot="1" x14ac:dyDescent="0.2">
      <c r="A38" s="174"/>
      <c r="B38" s="174"/>
      <c r="C38" s="174"/>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05/09/23</v>
      </c>
      <c r="Y38" s="174"/>
      <c r="Z38" s="174"/>
      <c r="AA38" s="174"/>
      <c r="AB38" s="174"/>
      <c r="AC38" s="174"/>
      <c r="AD38" s="174"/>
    </row>
    <row r="39" spans="1:30" ht="16.2" customHeight="1" thickTop="1" x14ac:dyDescent="0.3"/>
    <row r="40" spans="1:30" ht="16.2" customHeight="1" x14ac:dyDescent="0.3">
      <c r="G40" s="240"/>
      <c r="H40" s="240"/>
      <c r="I40" s="240"/>
      <c r="J40" s="240"/>
      <c r="K40" s="240"/>
      <c r="L40" s="240"/>
      <c r="M40" s="240"/>
      <c r="N40" s="240"/>
      <c r="O40" s="240"/>
      <c r="P40" s="240"/>
      <c r="Q40" s="240"/>
      <c r="R40" s="240"/>
      <c r="S40" s="240"/>
      <c r="T40" s="240"/>
      <c r="U40" s="240"/>
      <c r="V40" s="240"/>
    </row>
    <row r="41" spans="1:30" ht="45" customHeight="1" x14ac:dyDescent="0.3">
      <c r="G41" s="240"/>
      <c r="H41" s="240"/>
      <c r="I41" s="240"/>
      <c r="J41" s="240"/>
      <c r="K41" s="240"/>
      <c r="L41" s="240"/>
      <c r="M41" s="240"/>
      <c r="N41" s="240"/>
      <c r="O41" s="240"/>
      <c r="P41" s="240"/>
      <c r="Q41" s="240"/>
      <c r="R41" s="240"/>
      <c r="S41" s="240"/>
      <c r="T41" s="240"/>
      <c r="U41" s="240"/>
      <c r="V41" s="240"/>
    </row>
    <row r="76" spans="5:11" ht="16.2" customHeight="1" thickBot="1" x14ac:dyDescent="0.35"/>
    <row r="77" spans="5:11" ht="16.2" customHeight="1" thickBot="1" x14ac:dyDescent="0.35">
      <c r="E77" s="460"/>
      <c r="F77" s="460"/>
      <c r="G77" s="461" t="s">
        <v>144</v>
      </c>
      <c r="H77" s="462" t="s">
        <v>145</v>
      </c>
      <c r="I77" s="463" t="s">
        <v>145</v>
      </c>
      <c r="J77" s="464" t="s">
        <v>59</v>
      </c>
      <c r="K77" s="460"/>
    </row>
    <row r="78" spans="5:11" ht="16.2" customHeight="1" thickBot="1" x14ac:dyDescent="0.35">
      <c r="E78" s="465" t="s">
        <v>110</v>
      </c>
      <c r="F78" s="465"/>
      <c r="G78" s="466">
        <f t="shared" ref="G78:J80" si="1">G12</f>
        <v>625004.61291611183</v>
      </c>
      <c r="H78" s="466">
        <f t="shared" si="1"/>
        <v>4910.9867494059481</v>
      </c>
      <c r="I78" s="466">
        <f t="shared" si="1"/>
        <v>2768.8969327062391</v>
      </c>
      <c r="J78" s="467">
        <f t="shared" si="1"/>
        <v>7121.6929929497937</v>
      </c>
      <c r="K78" s="465"/>
    </row>
    <row r="79" spans="5:11" ht="16.2" customHeight="1" thickBot="1" x14ac:dyDescent="0.35">
      <c r="E79" s="468" t="s">
        <v>111</v>
      </c>
      <c r="F79" s="468"/>
      <c r="G79" s="469">
        <f t="shared" si="1"/>
        <v>2414739.8798773531</v>
      </c>
      <c r="H79" s="469">
        <f t="shared" si="1"/>
        <v>42370.575400739632</v>
      </c>
      <c r="I79" s="469">
        <f t="shared" si="1"/>
        <v>6964.0393360634798</v>
      </c>
      <c r="J79" s="470">
        <f t="shared" si="1"/>
        <v>20380.186823764878</v>
      </c>
      <c r="K79" s="468"/>
    </row>
    <row r="80" spans="5:11" ht="16.2" customHeight="1" thickBot="1" x14ac:dyDescent="0.35">
      <c r="E80" s="471" t="s">
        <v>18</v>
      </c>
      <c r="F80" s="471"/>
      <c r="G80" s="472">
        <f t="shared" si="1"/>
        <v>118139.66288884974</v>
      </c>
      <c r="H80" s="472">
        <f t="shared" si="1"/>
        <v>2526.3862637581819</v>
      </c>
      <c r="I80" s="472">
        <f t="shared" si="1"/>
        <v>1061.1916292727274</v>
      </c>
      <c r="J80" s="473">
        <f t="shared" si="1"/>
        <v>968.01424328614519</v>
      </c>
      <c r="K80" s="471"/>
    </row>
    <row r="81" spans="5:11" ht="16.2" customHeight="1" thickBot="1" x14ac:dyDescent="0.35">
      <c r="E81" s="474" t="s">
        <v>140</v>
      </c>
      <c r="F81" s="474"/>
      <c r="G81" s="475">
        <f t="shared" ref="G81:J82" si="2">G10</f>
        <v>3157884.1556823147</v>
      </c>
      <c r="H81" s="475">
        <f t="shared" si="2"/>
        <v>49807.948413903767</v>
      </c>
      <c r="I81" s="475">
        <f t="shared" si="2"/>
        <v>10794.127898042447</v>
      </c>
      <c r="J81" s="476">
        <f t="shared" si="2"/>
        <v>28469.894060000817</v>
      </c>
      <c r="K81" s="474"/>
    </row>
    <row r="82" spans="5:11" ht="16.2" customHeight="1" thickBot="1" x14ac:dyDescent="0.35">
      <c r="E82" s="477" t="s">
        <v>71</v>
      </c>
      <c r="F82" s="477"/>
      <c r="G82" s="478">
        <f t="shared" si="2"/>
        <v>1000249.6053959068</v>
      </c>
      <c r="H82" s="478">
        <f t="shared" si="2"/>
        <v>20170.275896438143</v>
      </c>
      <c r="I82" s="478">
        <f t="shared" si="2"/>
        <v>20170.275896438143</v>
      </c>
      <c r="J82" s="479">
        <f t="shared" si="2"/>
        <v>7595.3369263972563</v>
      </c>
      <c r="K82" s="477"/>
    </row>
    <row r="83" spans="5:11" ht="16.2" customHeight="1" thickBot="1" x14ac:dyDescent="0.35">
      <c r="E83" s="480" t="s">
        <v>54</v>
      </c>
      <c r="F83" s="480"/>
      <c r="G83" s="481">
        <f>SUM(G81:G82)</f>
        <v>4158133.7610782217</v>
      </c>
      <c r="H83" s="481">
        <f t="shared" ref="H83:J83" si="3">SUM(H81:H82)</f>
        <v>69978.224310341902</v>
      </c>
      <c r="I83" s="481">
        <f t="shared" si="3"/>
        <v>30964.40379448059</v>
      </c>
      <c r="J83" s="482">
        <f t="shared" si="3"/>
        <v>36065.230986398077</v>
      </c>
      <c r="K83" s="480"/>
    </row>
  </sheetData>
  <sheetProtection algorithmName="SHA-512" hashValue="yhbQ0BK/wLifRcp63XdAhCNBUn3H7ixms1oluIyOnKACKd8DdUXei5hhGVEAn03yBCDjbNaPvWrZPjjhxR5WSA==" saltValue="Xt5ZumUhXvdBI6geNryD6A==" spinCount="100000" sheet="1" objects="1" scenarios="1"/>
  <mergeCells count="8">
    <mergeCell ref="E23:N23"/>
    <mergeCell ref="O23:X23"/>
    <mergeCell ref="O6:R6"/>
    <mergeCell ref="S6:T7"/>
    <mergeCell ref="U6:X7"/>
    <mergeCell ref="O7:R7"/>
    <mergeCell ref="E8:N8"/>
    <mergeCell ref="O8:X8"/>
  </mergeCells>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8417" r:id="rId4" name="Drop Down 1">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88420" r:id="rId5" name="Drop Down 4">
              <controlPr defaultSize="0" autoLine="0" autoPict="0">
                <anchor moveWithCells="1">
                  <from>
                    <xdr:col>5</xdr:col>
                    <xdr:colOff>335280</xdr:colOff>
                    <xdr:row>4</xdr:row>
                    <xdr:rowOff>22860</xdr:rowOff>
                  </from>
                  <to>
                    <xdr:col>7</xdr:col>
                    <xdr:colOff>198120</xdr:colOff>
                    <xdr:row>4</xdr:row>
                    <xdr:rowOff>297180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66</vt:i4>
      </vt:variant>
    </vt:vector>
  </HeadingPairs>
  <TitlesOfParts>
    <vt:vector size="81" baseType="lpstr">
      <vt:lpstr>HOME</vt:lpstr>
      <vt:lpstr>USER GUIDE</vt:lpstr>
      <vt:lpstr>COMPARATIVE HEADLINES</vt:lpstr>
      <vt:lpstr>KEY MEASURES</vt:lpstr>
      <vt:lpstr>VISITOR TYPE DISTRIBUTION</vt:lpstr>
      <vt:lpstr>MONTHLY DISTRIBUTION</vt:lpstr>
      <vt:lpstr>ECONOMIC IMPACT</vt:lpstr>
      <vt:lpstr>VISITOR NUMBERS</vt:lpstr>
      <vt:lpstr>VISITOR DAYS</vt:lpstr>
      <vt:lpstr>EMPLOYMENT</vt:lpstr>
      <vt:lpstr>ACCOMMODATION SUPPLY</vt:lpstr>
      <vt:lpstr>SECTORAL ANALYSIS</vt:lpstr>
      <vt:lpstr>COVER</vt:lpstr>
      <vt:lpstr>CONTENTS</vt:lpstr>
      <vt:lpstr>DATA</vt:lpstr>
      <vt:lpstr>CHART.chart2seriesname</vt:lpstr>
      <vt:lpstr>CHARTYEAR.no</vt:lpstr>
      <vt:lpstr>COMPARISONYEAR.no</vt:lpstr>
      <vt:lpstr>FOCUSYEAR.no</vt:lpstr>
      <vt:lpstr>GTS_CJ</vt:lpstr>
      <vt:lpstr>GTS_DC</vt:lpstr>
      <vt:lpstr>GTS_DJ</vt:lpstr>
      <vt:lpstr>GTS_RM</vt:lpstr>
      <vt:lpstr>INDEX.no</vt:lpstr>
      <vt:lpstr>'ACCOMMODATION SUPPLY'!Print_Area</vt:lpstr>
      <vt:lpstr>ANNEX!Print_Area</vt:lpstr>
      <vt:lpstr>'COMPARATIVE HEADLINES'!Print_Area</vt:lpstr>
      <vt:lpstr>CONTENTS!Print_Area</vt:lpstr>
      <vt:lpstr>COVER!Print_Area</vt:lpstr>
      <vt:lpstr>'ECONOMIC IMPACT'!Print_Area</vt:lpstr>
      <vt:lpstr>EMPLOYMENT!Print_Area</vt:lpstr>
      <vt:lpstr>HOME!Print_Area</vt:lpstr>
      <vt:lpstr>'KEY MEASURES'!Print_Area</vt:lpstr>
      <vt:lpstr>'MONTHLY DISTRIBUTION'!Print_Area</vt:lpstr>
      <vt:lpstr>PB!Print_Area</vt:lpstr>
      <vt:lpstr>'SECTORAL ANALYSIS'!Print_Area</vt:lpstr>
      <vt:lpstr>'USER GUIDE'!Print_Area</vt:lpstr>
      <vt:lpstr>'VISITOR DAYS'!Print_Area</vt:lpstr>
      <vt:lpstr>'VISITOR NUMBERS'!Print_Area</vt:lpstr>
      <vt:lpstr>'VISITOR TYPE DISTRIBUTION'!Print_Area</vt:lpstr>
      <vt:lpstr>REP.AllYear</vt:lpstr>
      <vt:lpstr>REP.alookup</vt:lpstr>
      <vt:lpstr>REP.areacode</vt:lpstr>
      <vt:lpstr>REP.authority</vt:lpstr>
      <vt:lpstr>REP.companycontacts</vt:lpstr>
      <vt:lpstr>REP.data</vt:lpstr>
      <vt:lpstr>REP.footer1</vt:lpstr>
      <vt:lpstr>REP.footer2</vt:lpstr>
      <vt:lpstr>REP.gts</vt:lpstr>
      <vt:lpstr>REP.highlightdown</vt:lpstr>
      <vt:lpstr>REP.highlightsame</vt:lpstr>
      <vt:lpstr>REP.highlightup</vt:lpstr>
      <vt:lpstr>REP.ind</vt:lpstr>
      <vt:lpstr>REP.indexationfactors</vt:lpstr>
      <vt:lpstr>REP.indexationtable</vt:lpstr>
      <vt:lpstr>REP.indexationtoFOCUSYEAR</vt:lpstr>
      <vt:lpstr>REP.issued</vt:lpstr>
      <vt:lpstr>REP.lookup</vt:lpstr>
      <vt:lpstr>REP.monthnos</vt:lpstr>
      <vt:lpstr>REP.months</vt:lpstr>
      <vt:lpstr>REP.percenthighlight</vt:lpstr>
      <vt:lpstr>rep.percenthighlightchoices</vt:lpstr>
      <vt:lpstr>rep.percenthighlightno</vt:lpstr>
      <vt:lpstr>REP.product</vt:lpstr>
      <vt:lpstr>REP.QuarterAllYear</vt:lpstr>
      <vt:lpstr>REP.quarters</vt:lpstr>
      <vt:lpstr>REP.reporttype</vt:lpstr>
      <vt:lpstr>REP.status</vt:lpstr>
      <vt:lpstr>REP.subzone</vt:lpstr>
      <vt:lpstr>REP.title1</vt:lpstr>
      <vt:lpstr>REP.title2</vt:lpstr>
      <vt:lpstr>REP.user</vt:lpstr>
      <vt:lpstr>REP.yearnos</vt:lpstr>
      <vt:lpstr>REP.yearnosINV</vt:lpstr>
      <vt:lpstr>REP.yearsrange</vt:lpstr>
      <vt:lpstr>REP.YN</vt:lpstr>
      <vt:lpstr>TYPE.choices</vt:lpstr>
      <vt:lpstr>TYPE.no</vt:lpstr>
      <vt:lpstr>TYPE.supplymeasure</vt:lpstr>
      <vt:lpstr>TYPE.userselected</vt:lpstr>
      <vt:lpstr>YEARSINREP</vt:lpstr>
    </vt:vector>
  </TitlesOfParts>
  <Company>GTS (UK)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STEAM Report N Wales 2022</dc:title>
  <dc:subject>@Title</dc:subject>
  <dc:creator>© Global Tourism Solutions (UK) Ltd</dc:creator>
  <cp:keywords>
  </cp:keywords>
  <dc:description>Printed to PDF Tue 05 Sep 2023 by Cathryn James</dc:description>
  <cp:lastModifiedBy>Dr System Administrator</cp:lastModifiedBy>
  <cp:revision>1</cp:revision>
  <cp:lastPrinted>2015-02-17T20:43:29Z</cp:lastPrinted>
  <dcterms:created xsi:type="dcterms:W3CDTF">2013-04-08T07:23:50Z</dcterms:created>
  <dcterms:modified xsi:type="dcterms:W3CDTF">2023-09-18T11:22:58Z</dcterms:modified>
  <cp:contentStatus>Added 2016 Index Table</cp:contentStatus>
</cp:coreProperties>
</file>